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\\ad.kpnmab.pl\praca\Archiwum ZP\PRZETARGI 2024\KPN-9-2024 sprzatanie II przetarg na rok\2. dokumnetacja\"/>
    </mc:Choice>
  </mc:AlternateContent>
  <xr:revisionPtr revIDLastSave="0" documentId="13_ncr:1_{B9BD7321-5A11-4A46-8EB7-F97A9F958CBB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PARTER" sheetId="3" r:id="rId1"/>
    <sheet name="I Pietro" sheetId="4" r:id="rId2"/>
    <sheet name="Poddasze" sheetId="5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2" i="4" l="1"/>
  <c r="F37" i="4"/>
  <c r="F36" i="4"/>
  <c r="E61" i="3"/>
  <c r="E60" i="3"/>
  <c r="N41" i="3"/>
  <c r="Q41" i="3"/>
  <c r="L25" i="4"/>
  <c r="E38" i="4"/>
  <c r="O25" i="4"/>
  <c r="E36" i="4"/>
  <c r="E35" i="4"/>
  <c r="F35" i="4" s="1"/>
  <c r="E31" i="4"/>
  <c r="F31" i="4" s="1"/>
  <c r="E32" i="4"/>
  <c r="E14" i="4"/>
  <c r="E13" i="4"/>
  <c r="G5" i="4"/>
  <c r="E10" i="4"/>
  <c r="E11" i="4"/>
  <c r="E8" i="4"/>
  <c r="E9" i="4"/>
  <c r="E17" i="3"/>
  <c r="E56" i="3" s="1"/>
  <c r="F56" i="3" s="1"/>
  <c r="E20" i="3"/>
  <c r="E59" i="3" s="1"/>
  <c r="F59" i="3" s="1"/>
  <c r="E19" i="3"/>
  <c r="E58" i="3" s="1"/>
  <c r="F58" i="3" s="1"/>
  <c r="E54" i="3"/>
  <c r="F54" i="3" s="1"/>
  <c r="E52" i="3"/>
  <c r="F52" i="3" s="1"/>
  <c r="E51" i="3"/>
  <c r="F51" i="3" s="1"/>
  <c r="E34" i="4" l="1"/>
  <c r="F34" i="4" s="1"/>
  <c r="E33" i="4"/>
  <c r="F33" i="4" s="1"/>
  <c r="E12" i="5"/>
  <c r="E11" i="5"/>
  <c r="F11" i="5" s="1"/>
  <c r="G27" i="3"/>
  <c r="G17" i="4"/>
  <c r="G34" i="3"/>
  <c r="E53" i="3" l="1"/>
  <c r="F53" i="3" s="1"/>
  <c r="O23" i="4"/>
  <c r="O22" i="4"/>
  <c r="O19" i="4"/>
  <c r="O16" i="4"/>
  <c r="O15" i="4"/>
  <c r="G16" i="4" l="1"/>
  <c r="G15" i="4"/>
  <c r="L7" i="4"/>
  <c r="L12" i="4"/>
  <c r="O12" i="4"/>
  <c r="O7" i="4"/>
  <c r="O5" i="4"/>
  <c r="Q33" i="3"/>
  <c r="Q32" i="3"/>
  <c r="Q31" i="3"/>
  <c r="Q27" i="3"/>
  <c r="Q15" i="3"/>
  <c r="Q21" i="3"/>
  <c r="Q36" i="3"/>
  <c r="N36" i="3"/>
  <c r="E18" i="3"/>
  <c r="G11" i="3"/>
  <c r="G10" i="3"/>
  <c r="G9" i="3"/>
  <c r="G6" i="3"/>
  <c r="G5" i="3"/>
  <c r="G4" i="3"/>
  <c r="N22" i="3"/>
  <c r="N19" i="3"/>
  <c r="N16" i="3"/>
  <c r="N10" i="3"/>
  <c r="N8" i="3"/>
  <c r="N9" i="3"/>
  <c r="N6" i="3"/>
  <c r="N5" i="3"/>
  <c r="N4" i="3"/>
  <c r="E57" i="3" l="1"/>
  <c r="F57" i="3" s="1"/>
  <c r="E16" i="3"/>
  <c r="E55" i="3" s="1"/>
  <c r="F55" i="3" s="1"/>
  <c r="E37" i="4"/>
  <c r="F40" i="4" s="1"/>
  <c r="E39" i="4"/>
  <c r="E50" i="3"/>
  <c r="F50" i="3" s="1"/>
  <c r="F62" i="3" l="1"/>
</calcChain>
</file>

<file path=xl/sharedStrings.xml><?xml version="1.0" encoding="utf-8"?>
<sst xmlns="http://schemas.openxmlformats.org/spreadsheetml/2006/main" count="502" uniqueCount="238">
  <si>
    <t xml:space="preserve">Powierzchnia m2 </t>
  </si>
  <si>
    <t>Nazwa</t>
  </si>
  <si>
    <t xml:space="preserve">Komunikacja </t>
  </si>
  <si>
    <t>Uwagi</t>
  </si>
  <si>
    <t>WC</t>
  </si>
  <si>
    <t>Pomieszczenie techniczne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</si>
  <si>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</si>
  <si>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</si>
  <si>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</si>
  <si>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</si>
  <si>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</si>
  <si>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</si>
  <si>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</si>
  <si>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</si>
  <si>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</si>
  <si>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OKNA</t>
  </si>
  <si>
    <t>Ograniczony dostęp</t>
  </si>
  <si>
    <t>sztuki</t>
  </si>
  <si>
    <t>PARTER</t>
  </si>
  <si>
    <t>Rodzaj wykończenia posadzki</t>
  </si>
  <si>
    <t>Wykładzina dywanowa</t>
  </si>
  <si>
    <t xml:space="preserve">Wyposażenie </t>
  </si>
  <si>
    <t>I PIĘTRO</t>
  </si>
  <si>
    <t>1x pisuar</t>
  </si>
  <si>
    <t>201</t>
  </si>
  <si>
    <t>WINDA</t>
  </si>
  <si>
    <t>Pomieszczenie socjalne</t>
  </si>
  <si>
    <t>PODDASZE</t>
  </si>
  <si>
    <t>Schody</t>
  </si>
  <si>
    <t xml:space="preserve">Pomieszczenie techniczne </t>
  </si>
  <si>
    <t>m2</t>
  </si>
  <si>
    <t>POSADZKI</t>
  </si>
  <si>
    <t xml:space="preserve">Rodzaj wykończenia </t>
  </si>
  <si>
    <t>Numer</t>
  </si>
  <si>
    <t xml:space="preserve">Powierzchnia  </t>
  </si>
  <si>
    <t>Rodzaj</t>
  </si>
  <si>
    <t>Materiał</t>
  </si>
  <si>
    <t>Zestawienie powierzchni z podziałem na materiał wykończeniowy</t>
  </si>
  <si>
    <t>Powierzchnia</t>
  </si>
  <si>
    <t>Pomieszczenie</t>
  </si>
  <si>
    <t>nr</t>
  </si>
  <si>
    <t>Powierzchnia pomiejszona o miejsce zajęte przez meble szafy</t>
  </si>
  <si>
    <t>numer</t>
  </si>
  <si>
    <t>Biuro</t>
  </si>
  <si>
    <t>Płytki gress</t>
  </si>
  <si>
    <t>1 x miska ustępowa</t>
  </si>
  <si>
    <t>Sterownia</t>
  </si>
  <si>
    <t>07A</t>
  </si>
  <si>
    <t>Kotłownia +wentylatorownia</t>
  </si>
  <si>
    <t>Pompa ciepła</t>
  </si>
  <si>
    <t>Magazyn + wentylatorownia</t>
  </si>
  <si>
    <t>010</t>
  </si>
  <si>
    <t>1 x umywalka</t>
  </si>
  <si>
    <t>011</t>
  </si>
  <si>
    <t>Klatka schodowa K1</t>
  </si>
  <si>
    <t>012</t>
  </si>
  <si>
    <t>Podłoga podniesiona - mikrocement</t>
  </si>
  <si>
    <t>Podłoga podniesiona - bruk z cegły klinkirowej</t>
  </si>
  <si>
    <t>okna stałe</t>
  </si>
  <si>
    <t>013</t>
  </si>
  <si>
    <t>Klatka schodowa K2</t>
  </si>
  <si>
    <t>Płyty granitowe</t>
  </si>
  <si>
    <t>014</t>
  </si>
  <si>
    <t>015</t>
  </si>
  <si>
    <t>EKSPOZYCJA</t>
  </si>
  <si>
    <t>016</t>
  </si>
  <si>
    <t>3 x umywalka nablatowa</t>
  </si>
  <si>
    <t>2 x miska ustępowa</t>
  </si>
  <si>
    <t>1 x pisuar</t>
  </si>
  <si>
    <t>017</t>
  </si>
  <si>
    <t>5 x umywalka nablatowa</t>
  </si>
  <si>
    <t>5 x miska ustępowa</t>
  </si>
  <si>
    <t>1x lustro</t>
  </si>
  <si>
    <t>1 x lustro</t>
  </si>
  <si>
    <t>018</t>
  </si>
  <si>
    <t>1 x umywalka nablatowa</t>
  </si>
  <si>
    <t>019</t>
  </si>
  <si>
    <t>2 x biurko 1,6*0,8</t>
  </si>
  <si>
    <t>4 x szafa 0,8*0,42</t>
  </si>
  <si>
    <t>1 x stół 1,4*0,8</t>
  </si>
  <si>
    <t>Szafki kuchenne 5,20 * 0,6</t>
  </si>
  <si>
    <t>1 x biurko 2,0*0,9 + 1x 0,45*1,6</t>
  </si>
  <si>
    <t>stolik 0,55*0,55</t>
  </si>
  <si>
    <t>3 x biurko 1,6*0,8</t>
  </si>
  <si>
    <t>7 x szafa 0,8*0,42</t>
  </si>
  <si>
    <t>1 x szafa 1,2*0,45</t>
  </si>
  <si>
    <t>Szafa sterownicze 0,28*1 + 0,59*0,59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</si>
  <si>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</si>
  <si>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</si>
  <si>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</si>
  <si>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</si>
  <si>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</si>
  <si>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</si>
  <si>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</si>
  <si>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</si>
  <si>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</si>
  <si>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</si>
  <si>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</si>
  <si>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</si>
  <si>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</si>
  <si>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 xml:space="preserve">Recepcja </t>
  </si>
  <si>
    <t>WITRYNY / DRZWI PRZESZKLONE / PRZESZKLENIA</t>
  </si>
  <si>
    <t>Magazyn</t>
  </si>
  <si>
    <t>Witryna szklana za ladą</t>
  </si>
  <si>
    <t>Pomieszczenie dla sprzątaczek</t>
  </si>
  <si>
    <t>1 x zlewozmywak</t>
  </si>
  <si>
    <t>Schody utrudniony dostęp</t>
  </si>
  <si>
    <t>Wystawa</t>
  </si>
  <si>
    <t>Budynek wejściowy</t>
  </si>
  <si>
    <t>Pom. Techniczne RZEKA</t>
  </si>
  <si>
    <t>2 x witryna fasada S1</t>
  </si>
  <si>
    <t>2 x umywalka nablatowa</t>
  </si>
  <si>
    <t>3 x miska ustępowa</t>
  </si>
  <si>
    <t xml:space="preserve">1 x drzwi szklane Sw3 </t>
  </si>
  <si>
    <t>Klatka schodowa K3</t>
  </si>
  <si>
    <t>1 x drzwi szklane Sw2</t>
  </si>
  <si>
    <t>Przedsionek</t>
  </si>
  <si>
    <t>1 x Witryna fasada S2 + drzwi szklane Sw1</t>
  </si>
  <si>
    <t>1 x drzwi szklane Sw10</t>
  </si>
  <si>
    <t>2 x drzwi szklane Sw10</t>
  </si>
  <si>
    <t xml:space="preserve">2 x drzwi szklane Sw9 </t>
  </si>
  <si>
    <t>Utrudniony dostęp</t>
  </si>
  <si>
    <t>schody do piwnicy</t>
  </si>
  <si>
    <t>101</t>
  </si>
  <si>
    <t>sztuk</t>
  </si>
  <si>
    <t xml:space="preserve">OKNA </t>
  </si>
  <si>
    <t>ŚCIANKI SZKLANE /DRZWI SZKLANE</t>
  </si>
  <si>
    <t>1 X drzwi szklane Sw8</t>
  </si>
  <si>
    <t>102</t>
  </si>
  <si>
    <t>Wentylatory</t>
  </si>
  <si>
    <t>103</t>
  </si>
  <si>
    <t>Płyta granitowa</t>
  </si>
  <si>
    <t>104</t>
  </si>
  <si>
    <t>105</t>
  </si>
  <si>
    <t>106</t>
  </si>
  <si>
    <t>1 x okno OD22 oddymiające</t>
  </si>
  <si>
    <t>1 x okno OD18 oddymiające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</si>
  <si>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</si>
  <si>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</si>
  <si>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</si>
  <si>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</si>
  <si>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</si>
  <si>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</si>
  <si>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</si>
  <si>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</si>
  <si>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</si>
  <si>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</si>
  <si>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</si>
  <si>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Parkiet dębowy</t>
  </si>
  <si>
    <t>Zabudowa kuchenna 4,82*0,6</t>
  </si>
  <si>
    <t>Zabudowa szafy 5,15*0,8</t>
  </si>
  <si>
    <t>Szatnia</t>
  </si>
  <si>
    <t xml:space="preserve">1 x miska ustępowa </t>
  </si>
  <si>
    <t>Płytki na ścianach</t>
  </si>
  <si>
    <t>1 x drzwi szklane Sw7</t>
  </si>
  <si>
    <t>1 x drzwi szklane Sw6</t>
  </si>
  <si>
    <t xml:space="preserve">3 x miska ustępowa </t>
  </si>
  <si>
    <t>3 x umywalka</t>
  </si>
  <si>
    <t>2 x umywalka</t>
  </si>
  <si>
    <t>FOYER</t>
  </si>
  <si>
    <t>1 x drzwi szklane Sw4</t>
  </si>
  <si>
    <t>Klatka schodwa K3</t>
  </si>
  <si>
    <t>1 x drzwi szklane Sw5</t>
  </si>
  <si>
    <t>2 x witryna na łączniku</t>
  </si>
  <si>
    <t>Okna nieotwieralne</t>
  </si>
  <si>
    <t>Pomieszczenie pomp</t>
  </si>
  <si>
    <t>Dzwig nr 1 WEWNATRZ/ PODŁOGA/ ZEWNARZ</t>
  </si>
  <si>
    <t>Makiety zielone 6m2+16m2, Sztuczna trawa 8,5m2 x 3</t>
  </si>
  <si>
    <t>48 x Szafki depozytowe</t>
  </si>
  <si>
    <t>Recepcja 9,8*0,8*1,1</t>
  </si>
  <si>
    <t>Witryna szklana</t>
  </si>
  <si>
    <t>stoliki 3x0,7x0,7</t>
  </si>
  <si>
    <t>lada 3x0,8</t>
  </si>
  <si>
    <t>Stoły konferencyjne 15,2x0,8</t>
  </si>
  <si>
    <t>Stoły konferencyjne 4x5,4x0,8</t>
  </si>
  <si>
    <t>Szafki ubraniowe 1,8*0,4*1,8</t>
  </si>
  <si>
    <t>Lady wystawiennicze 2,2*1,1</t>
  </si>
  <si>
    <t>Dzwig nr 2 WEWNATRZ/ PODŁOGA/ ZEWNARZ</t>
  </si>
  <si>
    <t>Dzwig nr 3 WEWNATRZ/ PODŁOGA/ ZEWNARZ</t>
  </si>
  <si>
    <t>Dzwig nr 3 WEWNATRZ14,28m2/ PODŁOGA 2,64m2/ ZEWNARZ 4,84m2</t>
  </si>
  <si>
    <t>Dzwig nr 2             WEWNATRZ 11,02m2/ PODŁOGA 1,76m2/   ZEWNARZ 4,84 m2</t>
  </si>
  <si>
    <t>Dzwig nr 1              WEWNATRZ 13,86 m2/ PODŁOGA 2,52 m2/ ZEWNARZ 3,96m2</t>
  </si>
  <si>
    <t>Podłoga podniesiona - EPDM + pasy szkła</t>
  </si>
  <si>
    <t>Okna</t>
  </si>
  <si>
    <t>Lustra 15,20m2+11,5m2</t>
  </si>
  <si>
    <t>szafa zabudowana 6,5m2</t>
  </si>
  <si>
    <t>13,86 / 2,52  /3,96</t>
  </si>
  <si>
    <t>11,02 / 1,76 / 4,84</t>
  </si>
  <si>
    <t>14,28 / 2,64 /  4,84</t>
  </si>
  <si>
    <t>CZĘSTOTLIWOŚĆ SPRZĄTANIA POMIESZCZEŃ</t>
  </si>
  <si>
    <t>CZĘSTOTLIWOŚĆ MYCIA OKIEN</t>
  </si>
  <si>
    <t>Przestrzeń ekspozycyjna labolatorium komunikacja</t>
  </si>
  <si>
    <t>Przestrzeń ekspozycyjna labolatorium - EKSPOZYCJA</t>
  </si>
  <si>
    <t>Podłoga podniesiona - mikrocement + PASY SZKŁA</t>
  </si>
  <si>
    <t>KOMUNIKACJA</t>
  </si>
  <si>
    <t xml:space="preserve">Podłoga podniesiona - mikrocement </t>
  </si>
  <si>
    <t>1 raz w miesiącu</t>
  </si>
  <si>
    <t>Wyłączone ze sprzatania</t>
  </si>
  <si>
    <t>1 raz w tygodniu</t>
  </si>
  <si>
    <t>Poza zakresem przekazane firmie sprzątającej</t>
  </si>
  <si>
    <t>Codziennie</t>
  </si>
  <si>
    <t>Wystawa Laboratorium</t>
  </si>
  <si>
    <t>4 razy w miesiącu</t>
  </si>
  <si>
    <t>Brak</t>
  </si>
  <si>
    <t>Codziennie*</t>
  </si>
  <si>
    <t>sprzątenie codziennie od poniedziałku do piątku włącznie</t>
  </si>
  <si>
    <t>Codziennie**</t>
  </si>
  <si>
    <t>sprzątenie codziennie od poniedziałku do soboty włącznie</t>
  </si>
  <si>
    <t>2 razy w roku  w terminie wskazanym przez Zamawiającego</t>
  </si>
  <si>
    <t>Powierzchnia pomiejszona o miejsce zajęte przez meble / ekspozycję</t>
  </si>
  <si>
    <t>NIE DOTYCZY</t>
  </si>
  <si>
    <t>Ilość m2 do sprzątania podłóg w miesiącu. Przyjęto średnio 21 dni roboczych i 4 soboty w miesiącu. Czyli w tygodniu 25 dni sprzatania.</t>
  </si>
  <si>
    <t>CZĘSTOTLIWOŚĆ SPRZĄTANIA</t>
  </si>
  <si>
    <t>Zgodznie z załacznikiem nr 1 do SWZ 4 razy w miesiącu</t>
  </si>
  <si>
    <t>Przestrzeń ekspozycyjna labolatorium klinkier</t>
  </si>
  <si>
    <t>Razem</t>
  </si>
  <si>
    <t>Zgodznie z załacznikiem nr 1 do SWZ - 4 razy w miesiącu</t>
  </si>
  <si>
    <t>RAZEM</t>
  </si>
  <si>
    <t>Ilość m2 do sprzątania podłóg w miesiącu. Przyjęto średnio 21 dni roboczych.</t>
  </si>
  <si>
    <t>Hall wejściowy + pasy z nierdzewki</t>
  </si>
  <si>
    <t>Przestrzeń ekspozycyjna noc - EKSPOZYCJA + pasy z nierdzewki</t>
  </si>
  <si>
    <t>Przestrzeń ekspozycyjna noc - komunikacja + pasy z nierdzewki</t>
  </si>
  <si>
    <t>Podłoga podniesiona - EPDM + pasy z nierdzewki</t>
  </si>
  <si>
    <t>Podłoga podniesiona - EPDM + pasy z nierdzewki KOMUNIKACJA</t>
  </si>
  <si>
    <t>Podłoga podniesiona - mikrocement KOMUNIKACJA + pasy z nierdzewki</t>
  </si>
  <si>
    <t>Podłoga podniesiona - mikrocement + pasy z nierdzewki</t>
  </si>
  <si>
    <t>Sala ekspozycyjna - prapoczątek + pasy z nierdzewki</t>
  </si>
  <si>
    <t>Sala ekspozycyjna - prapocząteki - komunikacja + pasy z nierdzewki</t>
  </si>
  <si>
    <t>Sala ekspozycyjna - piętra roślinności - komunikacja + pasy z nierdzewki</t>
  </si>
  <si>
    <t>Sala ekspozycyjna - piętra roślinności + pasy z nierdzewki</t>
  </si>
  <si>
    <t>Sala ekspozycyjna - zjawiska pogodowe + pasy z nierdzewki</t>
  </si>
  <si>
    <t>Podłoga podniesiona - mikrocement EKSPOZYCJA + pasy z nierdzewki</t>
  </si>
  <si>
    <t>Podłoga podniesiona - mikrocement + PASY z nierdzewki - KOMUNIKACJA</t>
  </si>
  <si>
    <t xml:space="preserve">Sala warsztatowa </t>
  </si>
  <si>
    <t>CZĘSTOTLIWOŚĆ MYCIA ŚCIANKI SZKLANE /DRZWI SZKLANE</t>
  </si>
  <si>
    <t>CZĘSTOTLIWOŚĆ MYCIA WITRYNY / DRZWI PRZESZKLONE / PRZESZKLENIA</t>
  </si>
  <si>
    <t>2 x w roku</t>
  </si>
  <si>
    <t>6 razy w miesiącu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</si>
</sst>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070C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7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left" vertical="top"/>
    </xf>
    <xf numFmtId="0" fontId="0" fillId="0" borderId="5" xfId="0" applyBorder="1"/>
    <xf numFmtId="0" fontId="0" fillId="0" borderId="5" xfId="0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5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9" fillId="0" borderId="14" xfId="0" applyFont="1" applyBorder="1"/>
    <xf numFmtId="0" fontId="4" fillId="0" borderId="23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/>
    </xf>
    <xf numFmtId="0" fontId="0" fillId="0" borderId="5" xfId="0" applyBorder="1" applyAlignment="1">
      <alignment horizontal="left" vertical="top"/>
    </xf>
    <xf numFmtId="0" fontId="5" fillId="0" borderId="5" xfId="0" applyFont="1" applyBorder="1" applyAlignment="1">
      <alignment horizontal="left" vertical="top"/>
    </xf>
    <xf numFmtId="0" fontId="7" fillId="0" borderId="5" xfId="0" applyFont="1" applyBorder="1" applyAlignment="1">
      <alignment horizontal="left" vertical="top"/>
    </xf>
    <xf numFmtId="0" fontId="0" fillId="0" borderId="7" xfId="0" applyBorder="1" applyAlignment="1">
      <alignment horizontal="center"/>
    </xf>
    <xf numFmtId="0" fontId="9" fillId="0" borderId="9" xfId="0" applyFont="1" applyBorder="1" applyAlignment="1">
      <alignment wrapText="1"/>
    </xf>
    <xf numFmtId="0" fontId="4" fillId="0" borderId="21" xfId="0" applyFont="1" applyBorder="1" applyAlignment="1">
      <alignment horizontal="center" vertical="center"/>
    </xf>
    <xf numFmtId="0" fontId="0" fillId="0" borderId="15" xfId="0" applyBorder="1" applyAlignment="1">
      <alignment horizontal="center" vertical="top"/>
    </xf>
    <xf numFmtId="0" fontId="0" fillId="0" borderId="28" xfId="0" applyBorder="1" applyAlignment="1">
      <alignment horizontal="center"/>
    </xf>
    <xf numFmtId="0" fontId="0" fillId="0" borderId="15" xfId="0" applyBorder="1" applyAlignment="1">
      <alignment horizontal="left" vertical="top"/>
    </xf>
    <xf numFmtId="0" fontId="7" fillId="0" borderId="15" xfId="0" applyFont="1" applyBorder="1" applyAlignment="1">
      <alignment horizontal="left" vertical="top"/>
    </xf>
    <xf numFmtId="0" fontId="7" fillId="0" borderId="15" xfId="0" applyFont="1" applyBorder="1" applyAlignment="1">
      <alignment horizontal="left" vertical="top" wrapText="1"/>
    </xf>
    <xf numFmtId="0" fontId="7" fillId="0" borderId="15" xfId="0" applyFont="1" applyBorder="1" applyAlignment="1">
      <alignment horizontal="center" vertical="top" wrapText="1"/>
    </xf>
    <xf numFmtId="0" fontId="0" fillId="0" borderId="33" xfId="0" applyBorder="1" applyAlignment="1">
      <alignment horizontal="left" vertical="top"/>
    </xf>
    <xf numFmtId="0" fontId="0" fillId="0" borderId="33" xfId="0" applyBorder="1" applyAlignment="1">
      <alignment horizontal="center" vertical="top"/>
    </xf>
    <xf numFmtId="0" fontId="9" fillId="0" borderId="14" xfId="0" applyFont="1" applyBorder="1" applyAlignment="1">
      <alignment wrapText="1"/>
    </xf>
    <xf numFmtId="0" fontId="0" fillId="2" borderId="7" xfId="0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7" fillId="2" borderId="7" xfId="0" applyFont="1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0" fillId="2" borderId="12" xfId="0" applyFill="1" applyBorder="1" applyAlignment="1">
      <alignment horizontal="left" vertical="center"/>
    </xf>
    <xf numFmtId="0" fontId="0" fillId="0" borderId="15" xfId="0" applyBorder="1" applyAlignment="1">
      <alignment horizontal="center" vertical="top" wrapText="1"/>
    </xf>
    <xf numFmtId="0" fontId="0" fillId="0" borderId="30" xfId="0" applyBorder="1" applyAlignment="1">
      <alignment horizontal="center"/>
    </xf>
    <xf numFmtId="0" fontId="9" fillId="0" borderId="36" xfId="0" applyFont="1" applyBorder="1"/>
    <xf numFmtId="0" fontId="9" fillId="0" borderId="37" xfId="0" applyFont="1" applyBorder="1" applyAlignment="1">
      <alignment wrapText="1"/>
    </xf>
    <xf numFmtId="0" fontId="2" fillId="0" borderId="37" xfId="0" applyFont="1" applyBorder="1"/>
    <xf numFmtId="0" fontId="0" fillId="0" borderId="38" xfId="0" applyBorder="1"/>
    <xf numFmtId="0" fontId="3" fillId="0" borderId="41" xfId="0" applyFont="1" applyBorder="1" applyAlignment="1">
      <alignment horizontal="center"/>
    </xf>
    <xf numFmtId="0" fontId="0" fillId="0" borderId="44" xfId="0" applyBorder="1"/>
    <xf numFmtId="0" fontId="0" fillId="0" borderId="31" xfId="0" applyBorder="1"/>
    <xf numFmtId="0" fontId="4" fillId="0" borderId="45" xfId="0" applyFont="1" applyBorder="1" applyAlignment="1">
      <alignment horizontal="center" vertical="center"/>
    </xf>
    <xf numFmtId="0" fontId="0" fillId="0" borderId="30" xfId="0" applyBorder="1"/>
    <xf numFmtId="0" fontId="0" fillId="0" borderId="27" xfId="0" applyBorder="1"/>
    <xf numFmtId="0" fontId="0" fillId="0" borderId="40" xfId="0" applyBorder="1"/>
    <xf numFmtId="0" fontId="0" fillId="0" borderId="41" xfId="0" applyBorder="1"/>
    <xf numFmtId="0" fontId="0" fillId="0" borderId="39" xfId="0" applyBorder="1"/>
    <xf numFmtId="49" fontId="0" fillId="0" borderId="47" xfId="0" applyNumberFormat="1" applyBorder="1" applyAlignment="1">
      <alignment horizontal="center"/>
    </xf>
    <xf numFmtId="49" fontId="0" fillId="0" borderId="37" xfId="0" applyNumberFormat="1" applyBorder="1" applyAlignment="1">
      <alignment horizontal="center"/>
    </xf>
    <xf numFmtId="49" fontId="10" fillId="0" borderId="37" xfId="0" applyNumberFormat="1" applyFont="1" applyBorder="1" applyAlignment="1">
      <alignment horizontal="center"/>
    </xf>
    <xf numFmtId="49" fontId="0" fillId="0" borderId="37" xfId="0" applyNumberFormat="1" applyBorder="1" applyAlignment="1">
      <alignment horizontal="center" vertical="center"/>
    </xf>
    <xf numFmtId="49" fontId="0" fillId="0" borderId="48" xfId="0" applyNumberFormat="1" applyBorder="1" applyAlignment="1">
      <alignment horizontal="center"/>
    </xf>
    <xf numFmtId="49" fontId="0" fillId="2" borderId="47" xfId="0" applyNumberFormat="1" applyFill="1" applyBorder="1" applyAlignment="1">
      <alignment horizontal="center" vertical="center"/>
    </xf>
    <xf numFmtId="49" fontId="0" fillId="2" borderId="37" xfId="0" applyNumberFormat="1" applyFill="1" applyBorder="1" applyAlignment="1">
      <alignment horizontal="center" vertical="center"/>
    </xf>
    <xf numFmtId="49" fontId="0" fillId="2" borderId="38" xfId="0" applyNumberFormat="1" applyFill="1" applyBorder="1" applyAlignment="1">
      <alignment horizontal="center" vertical="center"/>
    </xf>
    <xf numFmtId="0" fontId="0" fillId="0" borderId="50" xfId="0" applyBorder="1"/>
    <xf numFmtId="0" fontId="0" fillId="0" borderId="50" xfId="0" applyBorder="1" applyAlignment="1">
      <alignment horizontal="left" vertical="top"/>
    </xf>
    <xf numFmtId="0" fontId="0" fillId="0" borderId="46" xfId="0" applyBorder="1"/>
    <xf numFmtId="0" fontId="0" fillId="0" borderId="40" xfId="0" applyBorder="1" applyAlignment="1">
      <alignment wrapText="1"/>
    </xf>
    <xf numFmtId="0" fontId="10" fillId="0" borderId="40" xfId="0" applyFont="1" applyBorder="1" applyAlignment="1">
      <alignment wrapText="1"/>
    </xf>
    <xf numFmtId="0" fontId="0" fillId="0" borderId="40" xfId="0" applyBorder="1" applyAlignment="1">
      <alignment horizontal="left" vertical="center"/>
    </xf>
    <xf numFmtId="0" fontId="0" fillId="0" borderId="40" xfId="0" applyBorder="1" applyAlignment="1">
      <alignment horizontal="left" vertical="top"/>
    </xf>
    <xf numFmtId="0" fontId="0" fillId="0" borderId="53" xfId="0" applyBorder="1" applyAlignment="1">
      <alignment horizontal="left" vertical="top"/>
    </xf>
    <xf numFmtId="0" fontId="7" fillId="2" borderId="46" xfId="0" applyFont="1" applyFill="1" applyBorder="1" applyAlignment="1">
      <alignment horizontal="left" vertical="center"/>
    </xf>
    <xf numFmtId="0" fontId="7" fillId="2" borderId="40" xfId="0" applyFont="1" applyFill="1" applyBorder="1" applyAlignment="1">
      <alignment horizontal="left" vertical="center"/>
    </xf>
    <xf numFmtId="0" fontId="7" fillId="2" borderId="41" xfId="0" applyFont="1" applyFill="1" applyBorder="1" applyAlignment="1">
      <alignment vertical="center"/>
    </xf>
    <xf numFmtId="0" fontId="0" fillId="0" borderId="54" xfId="0" applyBorder="1"/>
    <xf numFmtId="0" fontId="0" fillId="0" borderId="43" xfId="0" applyBorder="1"/>
    <xf numFmtId="0" fontId="0" fillId="0" borderId="43" xfId="0" applyBorder="1" applyAlignment="1">
      <alignment wrapText="1"/>
    </xf>
    <xf numFmtId="0" fontId="0" fillId="0" borderId="43" xfId="0" applyBorder="1" applyAlignment="1">
      <alignment horizontal="center" vertical="center"/>
    </xf>
    <xf numFmtId="0" fontId="0" fillId="0" borderId="55" xfId="0" applyBorder="1" applyAlignment="1">
      <alignment horizontal="left" vertical="top"/>
    </xf>
    <xf numFmtId="0" fontId="0" fillId="2" borderId="50" xfId="0" applyFill="1" applyBorder="1" applyAlignment="1">
      <alignment horizontal="center" vertical="center"/>
    </xf>
    <xf numFmtId="0" fontId="0" fillId="2" borderId="52" xfId="0" applyFill="1" applyBorder="1" applyAlignment="1">
      <alignment horizontal="center" vertical="center"/>
    </xf>
    <xf numFmtId="0" fontId="0" fillId="0" borderId="46" xfId="0" applyBorder="1" applyAlignment="1">
      <alignment horizontal="center"/>
    </xf>
    <xf numFmtId="0" fontId="0" fillId="0" borderId="40" xfId="0" applyBorder="1" applyAlignment="1">
      <alignment horizontal="center"/>
    </xf>
    <xf numFmtId="0" fontId="7" fillId="0" borderId="40" xfId="0" applyFont="1" applyBorder="1" applyAlignment="1">
      <alignment horizontal="center"/>
    </xf>
    <xf numFmtId="0" fontId="7" fillId="0" borderId="40" xfId="0" applyFont="1" applyBorder="1" applyAlignment="1">
      <alignment horizontal="center" vertical="center"/>
    </xf>
    <xf numFmtId="0" fontId="7" fillId="0" borderId="53" xfId="0" applyFont="1" applyBorder="1" applyAlignment="1">
      <alignment horizontal="center"/>
    </xf>
    <xf numFmtId="0" fontId="7" fillId="2" borderId="46" xfId="0" applyFont="1" applyFill="1" applyBorder="1" applyAlignment="1">
      <alignment horizontal="center" vertical="center"/>
    </xf>
    <xf numFmtId="0" fontId="7" fillId="2" borderId="40" xfId="0" applyFont="1" applyFill="1" applyBorder="1" applyAlignment="1">
      <alignment horizontal="center" vertical="center"/>
    </xf>
    <xf numFmtId="0" fontId="0" fillId="2" borderId="41" xfId="0" applyFill="1" applyBorder="1" applyAlignment="1">
      <alignment vertical="center"/>
    </xf>
    <xf numFmtId="0" fontId="0" fillId="0" borderId="43" xfId="0" applyBorder="1" applyAlignment="1">
      <alignment vertical="center" wrapText="1"/>
    </xf>
    <xf numFmtId="0" fontId="7" fillId="0" borderId="43" xfId="0" applyFont="1" applyBorder="1" applyAlignment="1">
      <alignment wrapText="1"/>
    </xf>
    <xf numFmtId="0" fontId="0" fillId="0" borderId="55" xfId="0" applyBorder="1" applyAlignment="1">
      <alignment wrapText="1"/>
    </xf>
    <xf numFmtId="0" fontId="0" fillId="2" borderId="54" xfId="0" applyFill="1" applyBorder="1" applyAlignment="1">
      <alignment horizontal="center" vertical="center" wrapText="1"/>
    </xf>
    <xf numFmtId="0" fontId="0" fillId="2" borderId="43" xfId="0" applyFill="1" applyBorder="1" applyAlignment="1">
      <alignment horizontal="center" vertical="center"/>
    </xf>
    <xf numFmtId="0" fontId="0" fillId="2" borderId="44" xfId="0" applyFill="1" applyBorder="1" applyAlignment="1">
      <alignment horizontal="center" vertical="center"/>
    </xf>
    <xf numFmtId="0" fontId="0" fillId="0" borderId="56" xfId="0" applyBorder="1" applyAlignment="1">
      <alignment horizontal="left" vertical="top"/>
    </xf>
    <xf numFmtId="0" fontId="7" fillId="0" borderId="50" xfId="0" applyFont="1" applyBorder="1" applyAlignment="1">
      <alignment horizontal="left" vertical="top"/>
    </xf>
    <xf numFmtId="0" fontId="5" fillId="0" borderId="56" xfId="0" applyFont="1" applyBorder="1" applyAlignment="1">
      <alignment horizontal="center" vertical="center"/>
    </xf>
    <xf numFmtId="0" fontId="7" fillId="0" borderId="56" xfId="0" applyFont="1" applyBorder="1" applyAlignment="1">
      <alignment horizontal="left" vertical="top" wrapText="1"/>
    </xf>
    <xf numFmtId="0" fontId="7" fillId="0" borderId="56" xfId="0" applyFont="1" applyBorder="1" applyAlignment="1">
      <alignment horizontal="left" vertical="top"/>
    </xf>
    <xf numFmtId="0" fontId="0" fillId="0" borderId="57" xfId="0" applyBorder="1" applyAlignment="1">
      <alignment horizontal="left" vertical="top"/>
    </xf>
    <xf numFmtId="0" fontId="0" fillId="2" borderId="49" xfId="0" applyFill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/>
    </xf>
    <xf numFmtId="0" fontId="7" fillId="0" borderId="39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/>
    </xf>
    <xf numFmtId="0" fontId="0" fillId="2" borderId="40" xfId="0" applyFill="1" applyBorder="1" applyAlignment="1">
      <alignment horizontal="center" vertical="center"/>
    </xf>
    <xf numFmtId="0" fontId="0" fillId="2" borderId="41" xfId="0" applyFill="1" applyBorder="1" applyAlignment="1">
      <alignment horizontal="center" vertical="center"/>
    </xf>
    <xf numFmtId="0" fontId="0" fillId="0" borderId="27" xfId="0" applyBorder="1" applyAlignment="1">
      <alignment horizontal="left" vertical="top"/>
    </xf>
    <xf numFmtId="0" fontId="5" fillId="0" borderId="27" xfId="0" applyFont="1" applyBorder="1" applyAlignment="1">
      <alignment horizontal="left" vertical="top"/>
    </xf>
    <xf numFmtId="0" fontId="7" fillId="0" borderId="27" xfId="0" applyFont="1" applyBorder="1" applyAlignment="1">
      <alignment horizontal="left" vertical="top"/>
    </xf>
    <xf numFmtId="0" fontId="0" fillId="0" borderId="34" xfId="0" applyBorder="1" applyAlignment="1">
      <alignment horizontal="center" vertical="top"/>
    </xf>
    <xf numFmtId="0" fontId="0" fillId="0" borderId="30" xfId="0" applyBorder="1" applyAlignment="1">
      <alignment horizontal="center" vertical="top"/>
    </xf>
    <xf numFmtId="0" fontId="0" fillId="0" borderId="30" xfId="0" applyBorder="1" applyAlignment="1">
      <alignment horizontal="center" vertical="top" wrapText="1"/>
    </xf>
    <xf numFmtId="0" fontId="0" fillId="2" borderId="27" xfId="0" applyFill="1" applyBorder="1" applyAlignment="1">
      <alignment horizontal="left" vertical="center"/>
    </xf>
    <xf numFmtId="0" fontId="0" fillId="2" borderId="31" xfId="0" applyFill="1" applyBorder="1" applyAlignment="1">
      <alignment horizontal="left" vertical="center"/>
    </xf>
    <xf numFmtId="0" fontId="0" fillId="0" borderId="43" xfId="0" applyBorder="1" applyAlignment="1">
      <alignment horizontal="center"/>
    </xf>
    <xf numFmtId="0" fontId="0" fillId="0" borderId="42" xfId="0" applyBorder="1" applyAlignment="1">
      <alignment horizontal="center" vertical="center"/>
    </xf>
    <xf numFmtId="0" fontId="0" fillId="2" borderId="54" xfId="0" applyFill="1" applyBorder="1" applyAlignment="1">
      <alignment horizontal="center" vertical="center"/>
    </xf>
    <xf numFmtId="0" fontId="0" fillId="2" borderId="44" xfId="0" applyFill="1" applyBorder="1" applyAlignment="1">
      <alignment vertic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59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vertical="center"/>
    </xf>
    <xf numFmtId="0" fontId="0" fillId="2" borderId="13" xfId="0" applyFill="1" applyBorder="1" applyAlignment="1">
      <alignment vertical="center"/>
    </xf>
    <xf numFmtId="0" fontId="5" fillId="0" borderId="40" xfId="0" applyFont="1" applyBorder="1"/>
    <xf numFmtId="0" fontId="7" fillId="0" borderId="40" xfId="0" applyFont="1" applyBorder="1"/>
    <xf numFmtId="0" fontId="0" fillId="0" borderId="24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39" xfId="0" applyBorder="1" applyAlignment="1">
      <alignment horizontal="left"/>
    </xf>
    <xf numFmtId="0" fontId="7" fillId="2" borderId="46" xfId="0" applyFont="1" applyFill="1" applyBorder="1" applyAlignment="1">
      <alignment horizontal="left" vertical="center" wrapText="1"/>
    </xf>
    <xf numFmtId="0" fontId="7" fillId="2" borderId="40" xfId="0" applyFont="1" applyFill="1" applyBorder="1" applyAlignment="1">
      <alignment horizontal="left" vertical="center" wrapText="1"/>
    </xf>
    <xf numFmtId="0" fontId="7" fillId="2" borderId="41" xfId="0" applyFont="1" applyFill="1" applyBorder="1" applyAlignment="1">
      <alignment vertical="center" wrapText="1"/>
    </xf>
    <xf numFmtId="49" fontId="0" fillId="0" borderId="47" xfId="0" applyNumberFormat="1" applyBorder="1" applyAlignment="1">
      <alignment horizontal="center" vertical="center"/>
    </xf>
    <xf numFmtId="49" fontId="10" fillId="0" borderId="37" xfId="0" applyNumberFormat="1" applyFont="1" applyBorder="1" applyAlignment="1">
      <alignment horizontal="center" vertical="center"/>
    </xf>
    <xf numFmtId="0" fontId="0" fillId="0" borderId="46" xfId="0" applyBorder="1" applyAlignment="1">
      <alignment wrapText="1"/>
    </xf>
    <xf numFmtId="0" fontId="5" fillId="0" borderId="41" xfId="0" applyFont="1" applyBorder="1"/>
    <xf numFmtId="0" fontId="0" fillId="0" borderId="54" xfId="0" applyBorder="1" applyAlignment="1">
      <alignment wrapText="1"/>
    </xf>
    <xf numFmtId="0" fontId="5" fillId="0" borderId="44" xfId="0" applyFont="1" applyBorder="1"/>
    <xf numFmtId="0" fontId="0" fillId="0" borderId="52" xfId="0" applyBorder="1"/>
    <xf numFmtId="0" fontId="0" fillId="0" borderId="46" xfId="0" applyBorder="1" applyAlignment="1">
      <alignment horizontal="center" vertical="center"/>
    </xf>
    <xf numFmtId="0" fontId="5" fillId="0" borderId="49" xfId="0" applyFont="1" applyBorder="1" applyAlignment="1">
      <alignment horizontal="left" vertical="center"/>
    </xf>
    <xf numFmtId="0" fontId="5" fillId="0" borderId="50" xfId="0" applyFont="1" applyBorder="1" applyAlignment="1">
      <alignment horizontal="left" vertical="center"/>
    </xf>
    <xf numFmtId="0" fontId="5" fillId="0" borderId="50" xfId="0" applyFont="1" applyBorder="1" applyAlignment="1">
      <alignment horizontal="left" vertical="top"/>
    </xf>
    <xf numFmtId="0" fontId="5" fillId="0" borderId="46" xfId="0" applyFont="1" applyBorder="1" applyAlignment="1">
      <alignment horizontal="center" vertical="center"/>
    </xf>
    <xf numFmtId="0" fontId="10" fillId="0" borderId="50" xfId="0" applyFont="1" applyBorder="1" applyAlignment="1">
      <alignment horizontal="left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7" fillId="0" borderId="9" xfId="0" applyFont="1" applyBorder="1" applyAlignment="1">
      <alignment horizontal="center"/>
    </xf>
    <xf numFmtId="0" fontId="0" fillId="0" borderId="54" xfId="0" applyBorder="1" applyAlignment="1">
      <alignment horizontal="center" vertical="center"/>
    </xf>
    <xf numFmtId="0" fontId="10" fillId="0" borderId="13" xfId="0" applyFont="1" applyBorder="1"/>
    <xf numFmtId="49" fontId="0" fillId="0" borderId="36" xfId="0" applyNumberFormat="1" applyBorder="1" applyAlignment="1">
      <alignment horizontal="center"/>
    </xf>
    <xf numFmtId="49" fontId="0" fillId="0" borderId="38" xfId="0" applyNumberFormat="1" applyBorder="1" applyAlignment="1">
      <alignment horizontal="center"/>
    </xf>
    <xf numFmtId="0" fontId="0" fillId="0" borderId="56" xfId="0" applyBorder="1"/>
    <xf numFmtId="0" fontId="0" fillId="0" borderId="42" xfId="0" applyBorder="1"/>
    <xf numFmtId="0" fontId="7" fillId="0" borderId="41" xfId="0" applyFont="1" applyBorder="1" applyAlignment="1">
      <alignment horizontal="center"/>
    </xf>
    <xf numFmtId="0" fontId="4" fillId="0" borderId="21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7" fillId="2" borderId="54" xfId="0" applyFont="1" applyFill="1" applyBorder="1" applyAlignment="1">
      <alignment horizontal="center" vertical="center"/>
    </xf>
    <xf numFmtId="0" fontId="7" fillId="2" borderId="43" xfId="0" applyFont="1" applyFill="1" applyBorder="1" applyAlignment="1">
      <alignment horizontal="center" vertical="center"/>
    </xf>
    <xf numFmtId="0" fontId="7" fillId="2" borderId="44" xfId="0" applyFont="1" applyFill="1" applyBorder="1" applyAlignment="1">
      <alignment horizontal="center" vertical="center"/>
    </xf>
    <xf numFmtId="0" fontId="0" fillId="0" borderId="54" xfId="0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 wrapText="1"/>
    </xf>
    <xf numFmtId="0" fontId="12" fillId="0" borderId="40" xfId="0" applyFont="1" applyBorder="1" applyAlignment="1">
      <alignment horizontal="left" vertical="top"/>
    </xf>
    <xf numFmtId="0" fontId="12" fillId="0" borderId="43" xfId="0" applyFont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7" fillId="3" borderId="47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/>
    </xf>
    <xf numFmtId="0" fontId="7" fillId="3" borderId="37" xfId="0" applyFont="1" applyFill="1" applyBorder="1" applyAlignment="1">
      <alignment horizontal="center"/>
    </xf>
    <xf numFmtId="0" fontId="7" fillId="3" borderId="10" xfId="0" applyFont="1" applyFill="1" applyBorder="1" applyAlignment="1">
      <alignment horizontal="center"/>
    </xf>
    <xf numFmtId="0" fontId="7" fillId="3" borderId="36" xfId="0" applyFont="1" applyFill="1" applyBorder="1" applyAlignment="1">
      <alignment horizontal="center" vertical="center"/>
    </xf>
    <xf numFmtId="0" fontId="7" fillId="3" borderId="48" xfId="0" applyFont="1" applyFill="1" applyBorder="1" applyAlignment="1">
      <alignment horizontal="center" vertical="center"/>
    </xf>
    <xf numFmtId="0" fontId="7" fillId="3" borderId="26" xfId="0" applyFont="1" applyFill="1" applyBorder="1" applyAlignment="1">
      <alignment horizontal="center" vertical="center"/>
    </xf>
    <xf numFmtId="0" fontId="7" fillId="3" borderId="19" xfId="0" applyFont="1" applyFill="1" applyBorder="1" applyAlignment="1">
      <alignment horizontal="center" vertical="center"/>
    </xf>
    <xf numFmtId="0" fontId="7" fillId="3" borderId="35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/>
    </xf>
    <xf numFmtId="0" fontId="7" fillId="3" borderId="36" xfId="0" applyFont="1" applyFill="1" applyBorder="1" applyAlignment="1">
      <alignment horizontal="center" vertical="center" wrapText="1"/>
    </xf>
    <xf numFmtId="0" fontId="7" fillId="3" borderId="47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37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38" xfId="0" applyFont="1" applyFill="1" applyBorder="1" applyAlignment="1">
      <alignment vertical="center"/>
    </xf>
    <xf numFmtId="0" fontId="7" fillId="3" borderId="13" xfId="0" applyFont="1" applyFill="1" applyBorder="1" applyAlignment="1">
      <alignment vertical="center"/>
    </xf>
    <xf numFmtId="0" fontId="7" fillId="3" borderId="0" xfId="0" applyFont="1" applyFill="1"/>
    <xf numFmtId="0" fontId="8" fillId="0" borderId="22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/>
    </xf>
    <xf numFmtId="0" fontId="9" fillId="0" borderId="36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 wrapText="1"/>
    </xf>
    <xf numFmtId="0" fontId="0" fillId="0" borderId="38" xfId="0" applyBorder="1" applyAlignment="1">
      <alignment horizontal="center" vertical="center"/>
    </xf>
    <xf numFmtId="0" fontId="9" fillId="0" borderId="37" xfId="0" applyFont="1" applyBorder="1" applyAlignment="1">
      <alignment horizontal="center"/>
    </xf>
    <xf numFmtId="0" fontId="3" fillId="0" borderId="37" xfId="0" applyFont="1" applyBorder="1" applyAlignment="1">
      <alignment horizontal="center"/>
    </xf>
    <xf numFmtId="0" fontId="3" fillId="0" borderId="38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/>
    </xf>
    <xf numFmtId="0" fontId="9" fillId="0" borderId="27" xfId="0" applyFont="1" applyBorder="1" applyAlignment="1">
      <alignment horizontal="center"/>
    </xf>
    <xf numFmtId="0" fontId="0" fillId="3" borderId="0" xfId="0" applyFill="1"/>
    <xf numFmtId="0" fontId="4" fillId="3" borderId="21" xfId="0" applyFon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/>
    </xf>
    <xf numFmtId="0" fontId="0" fillId="3" borderId="10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1" xfId="0" applyFill="1" applyBorder="1"/>
    <xf numFmtId="0" fontId="0" fillId="3" borderId="13" xfId="0" applyFill="1" applyBorder="1"/>
    <xf numFmtId="0" fontId="7" fillId="0" borderId="8" xfId="0" applyFont="1" applyBorder="1"/>
    <xf numFmtId="0" fontId="7" fillId="0" borderId="10" xfId="0" applyFont="1" applyBorder="1"/>
    <xf numFmtId="0" fontId="7" fillId="0" borderId="10" xfId="0" applyFont="1" applyBorder="1" applyAlignment="1">
      <alignment horizontal="left" vertical="top"/>
    </xf>
    <xf numFmtId="0" fontId="9" fillId="0" borderId="42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 wrapText="1"/>
    </xf>
    <xf numFmtId="0" fontId="0" fillId="0" borderId="44" xfId="0" applyBorder="1" applyAlignment="1">
      <alignment horizontal="center" vertical="center"/>
    </xf>
    <xf numFmtId="0" fontId="9" fillId="0" borderId="46" xfId="0" applyFont="1" applyBorder="1" applyAlignment="1">
      <alignment horizontal="center"/>
    </xf>
    <xf numFmtId="0" fontId="0" fillId="0" borderId="41" xfId="0" applyBorder="1" applyAlignment="1">
      <alignment horizontal="center" vertical="center"/>
    </xf>
    <xf numFmtId="0" fontId="0" fillId="0" borderId="40" xfId="0" applyBorder="1" applyAlignment="1">
      <alignment horizontal="left" vertical="center" wrapText="1"/>
    </xf>
    <xf numFmtId="0" fontId="10" fillId="0" borderId="40" xfId="0" applyFont="1" applyBorder="1" applyAlignment="1">
      <alignment horizontal="left" vertical="center" wrapText="1"/>
    </xf>
    <xf numFmtId="2" fontId="3" fillId="0" borderId="31" xfId="0" applyNumberFormat="1" applyFont="1" applyBorder="1" applyAlignment="1">
      <alignment horizontal="center" vertical="center"/>
    </xf>
    <xf numFmtId="0" fontId="9" fillId="0" borderId="32" xfId="0" applyFont="1" applyBorder="1" applyAlignment="1">
      <alignment wrapText="1"/>
    </xf>
    <xf numFmtId="0" fontId="0" fillId="0" borderId="55" xfId="0" applyBorder="1" applyAlignment="1">
      <alignment horizontal="center" vertical="center"/>
    </xf>
    <xf numFmtId="0" fontId="0" fillId="0" borderId="53" xfId="0" applyBorder="1"/>
    <xf numFmtId="0" fontId="7" fillId="3" borderId="20" xfId="0" applyFont="1" applyFill="1" applyBorder="1" applyAlignment="1">
      <alignment horizontal="center" vertical="center"/>
    </xf>
    <xf numFmtId="0" fontId="7" fillId="3" borderId="62" xfId="0" applyFont="1" applyFill="1" applyBorder="1" applyAlignment="1">
      <alignment horizontal="center" vertical="center"/>
    </xf>
    <xf numFmtId="0" fontId="7" fillId="3" borderId="60" xfId="0" applyFont="1" applyFill="1" applyBorder="1" applyAlignment="1">
      <alignment horizontal="center" vertical="center"/>
    </xf>
    <xf numFmtId="0" fontId="7" fillId="3" borderId="61" xfId="0" applyFont="1" applyFill="1" applyBorder="1" applyAlignment="1">
      <alignment horizontal="center" vertical="center"/>
    </xf>
    <xf numFmtId="0" fontId="7" fillId="3" borderId="63" xfId="0" applyFont="1" applyFill="1" applyBorder="1" applyAlignment="1">
      <alignment vertical="center"/>
    </xf>
    <xf numFmtId="0" fontId="1" fillId="0" borderId="37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/>
    </xf>
    <xf numFmtId="0" fontId="0" fillId="0" borderId="32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1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21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11" fillId="3" borderId="22" xfId="0" applyFont="1" applyFill="1" applyBorder="1" applyAlignment="1">
      <alignment horizontal="center" vertical="center" wrapText="1"/>
    </xf>
    <xf numFmtId="0" fontId="11" fillId="3" borderId="18" xfId="0" applyFont="1" applyFill="1" applyBorder="1" applyAlignment="1">
      <alignment horizontal="center" vertical="center" wrapText="1"/>
    </xf>
    <xf numFmtId="0" fontId="0" fillId="0" borderId="5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29" xfId="0" applyBorder="1" applyAlignment="1">
      <alignment horizontal="center" vertical="top"/>
    </xf>
    <xf numFmtId="0" fontId="0" fillId="0" borderId="34" xfId="0" applyBorder="1" applyAlignment="1">
      <alignment horizontal="center" vertical="top"/>
    </xf>
    <xf numFmtId="0" fontId="0" fillId="0" borderId="30" xfId="0" applyBorder="1" applyAlignment="1">
      <alignment horizontal="center" vertical="top"/>
    </xf>
    <xf numFmtId="0" fontId="0" fillId="0" borderId="25" xfId="0" applyBorder="1" applyAlignment="1">
      <alignment horizontal="center" vertical="top"/>
    </xf>
    <xf numFmtId="0" fontId="0" fillId="0" borderId="33" xfId="0" applyBorder="1" applyAlignment="1">
      <alignment horizontal="center" vertical="top"/>
    </xf>
    <xf numFmtId="0" fontId="0" fillId="0" borderId="15" xfId="0" applyBorder="1" applyAlignment="1">
      <alignment horizontal="center" vertical="top"/>
    </xf>
    <xf numFmtId="0" fontId="4" fillId="0" borderId="21" xfId="0" applyFont="1" applyBorder="1" applyAlignment="1">
      <alignment horizontal="center" vertical="center" wrapText="1"/>
    </xf>
    <xf numFmtId="0" fontId="4" fillId="0" borderId="58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left" vertical="top"/>
    </xf>
    <xf numFmtId="0" fontId="7" fillId="0" borderId="33" xfId="0" applyFont="1" applyBorder="1" applyAlignment="1">
      <alignment horizontal="left" vertical="top"/>
    </xf>
    <xf numFmtId="0" fontId="7" fillId="0" borderId="15" xfId="0" applyFont="1" applyBorder="1" applyAlignment="1">
      <alignment horizontal="left" vertical="top"/>
    </xf>
    <xf numFmtId="0" fontId="5" fillId="0" borderId="51" xfId="0" applyFont="1" applyBorder="1" applyAlignment="1">
      <alignment horizontal="center" vertical="center"/>
    </xf>
    <xf numFmtId="0" fontId="5" fillId="0" borderId="57" xfId="0" applyFont="1" applyBorder="1" applyAlignment="1">
      <alignment horizontal="center" vertical="center"/>
    </xf>
    <xf numFmtId="0" fontId="5" fillId="0" borderId="56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0" fontId="7" fillId="3" borderId="39" xfId="0" applyFont="1" applyFill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3" borderId="22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0" fillId="3" borderId="21" xfId="0" applyFill="1" applyBorder="1" applyAlignment="1">
      <alignment horizontal="center" vertical="center"/>
    </xf>
    <xf numFmtId="0" fontId="0" fillId="3" borderId="24" xfId="0" applyFill="1" applyBorder="1" applyAlignment="1">
      <alignment horizontal="center" vertical="center"/>
    </xf>
    <xf numFmtId="0" fontId="0" fillId="3" borderId="39" xfId="0" applyFill="1" applyBorder="1" applyAlignment="1">
      <alignment horizontal="center" vertical="center"/>
    </xf>
    <xf numFmtId="0" fontId="4" fillId="0" borderId="46" xfId="0" applyFont="1" applyBorder="1" applyAlignment="1">
      <alignment horizontal="center" wrapText="1"/>
    </xf>
    <xf numFmtId="0" fontId="4" fillId="0" borderId="41" xfId="0" applyFont="1" applyBorder="1" applyAlignment="1">
      <alignment horizontal="center" wrapText="1"/>
    </xf>
    <xf numFmtId="0" fontId="4" fillId="0" borderId="45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16F6A-7975-4A4B-A43F-AB2FFB951DA0}">
  <dimension ref="B1:S123"/>
  <sheetViews>
    <sheetView topLeftCell="G1" zoomScaleNormal="100" workbookViewId="0">
      <selection activeCell="D61" sqref="D61"/>
    </sheetView>
  </sheetViews>
  <sheetFormatPr defaultRowHeight="15" x14ac:dyDescent="0.25"/>
  <cols>
    <col min="2" max="2" width="18.140625" customWidth="1"/>
    <col min="3" max="3" width="45.7109375" customWidth="1"/>
    <col min="4" max="4" width="30.42578125" customWidth="1"/>
    <col min="5" max="5" width="20.7109375" customWidth="1"/>
    <col min="6" max="6" width="32.28515625" customWidth="1"/>
    <col min="7" max="7" width="25.85546875" customWidth="1"/>
    <col min="8" max="8" width="31.28515625" customWidth="1"/>
    <col min="9" max="9" width="23.28515625" customWidth="1"/>
    <col min="10" max="10" width="18.28515625" customWidth="1"/>
    <col min="11" max="11" width="17.7109375" customWidth="1"/>
    <col min="12" max="13" width="21.7109375" customWidth="1"/>
    <col min="14" max="14" width="13.7109375" customWidth="1"/>
    <col min="15" max="15" width="17.140625" customWidth="1"/>
    <col min="16" max="16" width="18.42578125" style="196" customWidth="1"/>
    <col min="17" max="17" width="12.28515625" style="196" customWidth="1"/>
    <col min="18" max="18" width="18.85546875" style="196" customWidth="1"/>
    <col min="19" max="19" width="24.42578125" customWidth="1"/>
  </cols>
  <sheetData>
    <row r="1" spans="2:19" ht="15.75" thickBot="1" x14ac:dyDescent="0.3">
      <c r="B1" s="247" t="s">
        <v>18</v>
      </c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9"/>
    </row>
    <row r="2" spans="2:19" ht="45.75" thickBot="1" x14ac:dyDescent="0.3">
      <c r="B2" s="12" t="s">
        <v>39</v>
      </c>
      <c r="C2" s="250" t="s">
        <v>1</v>
      </c>
      <c r="D2" s="263" t="s">
        <v>189</v>
      </c>
      <c r="E2" s="12" t="s">
        <v>34</v>
      </c>
      <c r="F2" s="19" t="s">
        <v>19</v>
      </c>
      <c r="G2" s="20" t="s">
        <v>209</v>
      </c>
      <c r="H2" s="272" t="s">
        <v>21</v>
      </c>
      <c r="I2" s="272"/>
      <c r="J2" s="272"/>
      <c r="K2" s="272"/>
      <c r="L2" s="272"/>
      <c r="M2" s="276" t="s">
        <v>15</v>
      </c>
      <c r="N2" s="272"/>
      <c r="O2" s="263" t="s">
        <v>190</v>
      </c>
      <c r="P2" s="252" t="s">
        <v>101</v>
      </c>
      <c r="Q2" s="253"/>
      <c r="R2" s="263" t="s">
        <v>235</v>
      </c>
      <c r="S2" s="250" t="s">
        <v>3</v>
      </c>
    </row>
    <row r="3" spans="2:19" ht="15.75" thickBot="1" x14ac:dyDescent="0.3">
      <c r="B3" s="12" t="s">
        <v>42</v>
      </c>
      <c r="C3" s="251"/>
      <c r="D3" s="265"/>
      <c r="E3" s="16" t="s">
        <v>30</v>
      </c>
      <c r="F3" s="18" t="s">
        <v>36</v>
      </c>
      <c r="G3" s="12" t="s">
        <v>30</v>
      </c>
      <c r="H3" s="237" t="s">
        <v>35</v>
      </c>
      <c r="I3" s="237"/>
      <c r="J3" s="237"/>
      <c r="K3" s="237"/>
      <c r="L3" s="237"/>
      <c r="M3" s="12" t="s">
        <v>17</v>
      </c>
      <c r="N3" s="14" t="s">
        <v>30</v>
      </c>
      <c r="O3" s="264"/>
      <c r="P3" s="178" t="s">
        <v>17</v>
      </c>
      <c r="Q3" s="178" t="s">
        <v>30</v>
      </c>
      <c r="R3" s="264"/>
      <c r="S3" s="251"/>
    </row>
    <row r="4" spans="2:19" x14ac:dyDescent="0.25">
      <c r="B4" s="58" t="s">
        <v>6</v>
      </c>
      <c r="C4" s="68" t="s">
        <v>43</v>
      </c>
      <c r="D4" s="161" t="s">
        <v>204</v>
      </c>
      <c r="E4" s="84">
        <v>16.7</v>
      </c>
      <c r="F4" s="77" t="s">
        <v>20</v>
      </c>
      <c r="G4" s="84">
        <f>4*0.8*0.42</f>
        <v>1.3440000000000001</v>
      </c>
      <c r="H4" s="98" t="s">
        <v>77</v>
      </c>
      <c r="I4" s="11" t="s">
        <v>78</v>
      </c>
      <c r="J4" s="11"/>
      <c r="K4" s="11"/>
      <c r="L4" s="44"/>
      <c r="M4" s="123">
        <v>2</v>
      </c>
      <c r="N4" s="124">
        <f>0.99*1.08+0.75*1.26</f>
        <v>2.0142000000000002</v>
      </c>
      <c r="O4" s="244" t="s">
        <v>208</v>
      </c>
      <c r="P4" s="179"/>
      <c r="Q4" s="180"/>
      <c r="R4" s="273" t="s">
        <v>200</v>
      </c>
      <c r="S4" s="68"/>
    </row>
    <row r="5" spans="2:19" x14ac:dyDescent="0.25">
      <c r="B5" s="59" t="s">
        <v>7</v>
      </c>
      <c r="C5" s="55" t="s">
        <v>26</v>
      </c>
      <c r="D5" s="80" t="s">
        <v>204</v>
      </c>
      <c r="E5" s="85">
        <v>13.2</v>
      </c>
      <c r="F5" s="78" t="s">
        <v>44</v>
      </c>
      <c r="G5" s="86">
        <f>5.2*0.6</f>
        <v>3.12</v>
      </c>
      <c r="H5" s="99" t="s">
        <v>79</v>
      </c>
      <c r="I5" s="22" t="s">
        <v>80</v>
      </c>
      <c r="J5" s="22"/>
      <c r="K5" s="23"/>
      <c r="L5" s="111"/>
      <c r="M5" s="125">
        <v>1</v>
      </c>
      <c r="N5" s="126">
        <f>0.86*1.08</f>
        <v>0.92880000000000007</v>
      </c>
      <c r="O5" s="245"/>
      <c r="P5" s="181"/>
      <c r="Q5" s="182"/>
      <c r="R5" s="274"/>
      <c r="S5" s="55"/>
    </row>
    <row r="6" spans="2:19" x14ac:dyDescent="0.25">
      <c r="B6" s="59" t="s">
        <v>8</v>
      </c>
      <c r="C6" s="55" t="s">
        <v>43</v>
      </c>
      <c r="D6" s="80" t="s">
        <v>204</v>
      </c>
      <c r="E6" s="86">
        <v>19.399999999999999</v>
      </c>
      <c r="F6" s="78" t="s">
        <v>20</v>
      </c>
      <c r="G6" s="85">
        <f>4*0.8*0.42</f>
        <v>1.3440000000000001</v>
      </c>
      <c r="H6" s="99" t="s">
        <v>81</v>
      </c>
      <c r="I6" s="7" t="s">
        <v>78</v>
      </c>
      <c r="J6" s="24" t="s">
        <v>82</v>
      </c>
      <c r="K6" s="24"/>
      <c r="L6" s="112"/>
      <c r="M6" s="125">
        <v>1</v>
      </c>
      <c r="N6" s="126">
        <f>0.96*1.4</f>
        <v>1.3439999999999999</v>
      </c>
      <c r="O6" s="245"/>
      <c r="P6" s="181"/>
      <c r="Q6" s="182"/>
      <c r="R6" s="274"/>
      <c r="S6" s="55"/>
    </row>
    <row r="7" spans="2:19" x14ac:dyDescent="0.25">
      <c r="B7" s="59" t="s">
        <v>9</v>
      </c>
      <c r="C7" s="55" t="s">
        <v>4</v>
      </c>
      <c r="D7" s="80" t="s">
        <v>204</v>
      </c>
      <c r="E7" s="86">
        <v>8.4</v>
      </c>
      <c r="F7" s="78" t="s">
        <v>44</v>
      </c>
      <c r="G7" s="86">
        <v>0</v>
      </c>
      <c r="H7" s="99" t="s">
        <v>111</v>
      </c>
      <c r="I7" s="24" t="s">
        <v>45</v>
      </c>
      <c r="J7" s="24" t="s">
        <v>23</v>
      </c>
      <c r="K7" s="24" t="s">
        <v>73</v>
      </c>
      <c r="L7" s="112"/>
      <c r="M7" s="125">
        <v>0</v>
      </c>
      <c r="N7" s="126">
        <v>0</v>
      </c>
      <c r="O7" s="245"/>
      <c r="P7" s="181"/>
      <c r="Q7" s="182"/>
      <c r="R7" s="274"/>
      <c r="S7" s="137"/>
    </row>
    <row r="8" spans="2:19" x14ac:dyDescent="0.25">
      <c r="B8" s="59" t="s">
        <v>10</v>
      </c>
      <c r="C8" s="55" t="s">
        <v>2</v>
      </c>
      <c r="D8" s="80" t="s">
        <v>204</v>
      </c>
      <c r="E8" s="86">
        <v>63.8</v>
      </c>
      <c r="F8" s="78" t="s">
        <v>44</v>
      </c>
      <c r="G8" s="86">
        <v>0</v>
      </c>
      <c r="H8" s="99"/>
      <c r="I8" s="24"/>
      <c r="J8" s="24"/>
      <c r="K8" s="23"/>
      <c r="L8" s="113"/>
      <c r="M8" s="125">
        <v>2</v>
      </c>
      <c r="N8" s="126">
        <f>2*1.16*1.89</f>
        <v>4.3847999999999994</v>
      </c>
      <c r="O8" s="245"/>
      <c r="P8" s="181"/>
      <c r="Q8" s="182"/>
      <c r="R8" s="274"/>
      <c r="S8" s="138" t="s">
        <v>28</v>
      </c>
    </row>
    <row r="9" spans="2:19" x14ac:dyDescent="0.25">
      <c r="B9" s="59" t="s">
        <v>11</v>
      </c>
      <c r="C9" s="55" t="s">
        <v>43</v>
      </c>
      <c r="D9" s="80" t="s">
        <v>204</v>
      </c>
      <c r="E9" s="86">
        <v>32.6</v>
      </c>
      <c r="F9" s="78" t="s">
        <v>20</v>
      </c>
      <c r="G9" s="85">
        <f>7*0.8*0.42</f>
        <v>2.3520000000000003</v>
      </c>
      <c r="H9" s="67" t="s">
        <v>83</v>
      </c>
      <c r="I9" s="7" t="s">
        <v>84</v>
      </c>
      <c r="J9" s="24" t="s">
        <v>82</v>
      </c>
      <c r="K9" s="23"/>
      <c r="L9" s="113"/>
      <c r="M9" s="125">
        <v>3</v>
      </c>
      <c r="N9" s="126">
        <f>0.98*1.07+0.95*1.26+1.22*1.26</f>
        <v>3.7827999999999995</v>
      </c>
      <c r="O9" s="245"/>
      <c r="P9" s="181"/>
      <c r="Q9" s="182"/>
      <c r="R9" s="274"/>
      <c r="S9" s="55"/>
    </row>
    <row r="10" spans="2:19" x14ac:dyDescent="0.25">
      <c r="B10" s="59" t="s">
        <v>12</v>
      </c>
      <c r="C10" s="55" t="s">
        <v>46</v>
      </c>
      <c r="D10" s="80" t="s">
        <v>204</v>
      </c>
      <c r="E10" s="86">
        <v>9.3000000000000007</v>
      </c>
      <c r="F10" s="78" t="s">
        <v>20</v>
      </c>
      <c r="G10" s="86">
        <f>1.2*0.45</f>
        <v>0.54</v>
      </c>
      <c r="H10" s="67" t="s">
        <v>77</v>
      </c>
      <c r="I10" s="24" t="s">
        <v>85</v>
      </c>
      <c r="J10" s="24"/>
      <c r="K10" s="24"/>
      <c r="L10" s="113"/>
      <c r="M10" s="125">
        <v>1</v>
      </c>
      <c r="N10" s="126">
        <f>0.88*2</f>
        <v>1.76</v>
      </c>
      <c r="O10" s="245"/>
      <c r="P10" s="181"/>
      <c r="Q10" s="182"/>
      <c r="R10" s="274"/>
      <c r="S10" s="55" t="s">
        <v>16</v>
      </c>
    </row>
    <row r="11" spans="2:19" x14ac:dyDescent="0.25">
      <c r="B11" s="59" t="s">
        <v>47</v>
      </c>
      <c r="C11" s="55" t="s">
        <v>5</v>
      </c>
      <c r="D11" s="80" t="s">
        <v>204</v>
      </c>
      <c r="E11" s="86">
        <v>8.6999999999999993</v>
      </c>
      <c r="F11" s="78" t="s">
        <v>44</v>
      </c>
      <c r="G11" s="86">
        <f>0.28*1+0.59*0.59</f>
        <v>0.62809999999999999</v>
      </c>
      <c r="H11" s="99" t="s">
        <v>86</v>
      </c>
      <c r="I11" s="23"/>
      <c r="J11" s="23"/>
      <c r="K11" s="23"/>
      <c r="L11" s="112"/>
      <c r="M11" s="125">
        <v>0</v>
      </c>
      <c r="N11" s="126">
        <v>0</v>
      </c>
      <c r="O11" s="245"/>
      <c r="P11" s="181"/>
      <c r="Q11" s="182"/>
      <c r="R11" s="274"/>
      <c r="S11" s="55" t="s">
        <v>16</v>
      </c>
    </row>
    <row r="12" spans="2:19" x14ac:dyDescent="0.25">
      <c r="B12" s="59" t="s">
        <v>13</v>
      </c>
      <c r="C12" s="55" t="s">
        <v>48</v>
      </c>
      <c r="D12" s="80" t="s">
        <v>196</v>
      </c>
      <c r="E12" s="86">
        <v>28.8</v>
      </c>
      <c r="F12" s="78" t="s">
        <v>44</v>
      </c>
      <c r="G12" s="86">
        <v>5.4</v>
      </c>
      <c r="H12" s="99" t="s">
        <v>49</v>
      </c>
      <c r="I12" s="24"/>
      <c r="J12" s="24"/>
      <c r="K12" s="24"/>
      <c r="L12" s="112"/>
      <c r="M12" s="125"/>
      <c r="N12" s="126"/>
      <c r="O12" s="245"/>
      <c r="P12" s="181"/>
      <c r="Q12" s="182"/>
      <c r="R12" s="274"/>
      <c r="S12" s="55"/>
    </row>
    <row r="13" spans="2:19" x14ac:dyDescent="0.25">
      <c r="B13" s="59" t="s">
        <v>14</v>
      </c>
      <c r="C13" s="55" t="s">
        <v>50</v>
      </c>
      <c r="D13" s="80" t="s">
        <v>196</v>
      </c>
      <c r="E13" s="86">
        <v>28.7</v>
      </c>
      <c r="F13" s="78" t="s">
        <v>44</v>
      </c>
      <c r="G13" s="86">
        <v>0</v>
      </c>
      <c r="H13" s="99"/>
      <c r="I13" s="24"/>
      <c r="J13" s="24"/>
      <c r="K13" s="24"/>
      <c r="L13" s="113"/>
      <c r="M13" s="125"/>
      <c r="N13" s="126"/>
      <c r="O13" s="245"/>
      <c r="P13" s="181"/>
      <c r="Q13" s="182"/>
      <c r="R13" s="274"/>
      <c r="S13" s="55"/>
    </row>
    <row r="14" spans="2:19" x14ac:dyDescent="0.25">
      <c r="B14" s="59" t="s">
        <v>51</v>
      </c>
      <c r="C14" s="55" t="s">
        <v>4</v>
      </c>
      <c r="D14" s="80" t="s">
        <v>204</v>
      </c>
      <c r="E14" s="86">
        <v>8.4</v>
      </c>
      <c r="F14" s="78" t="s">
        <v>44</v>
      </c>
      <c r="G14" s="86">
        <v>0</v>
      </c>
      <c r="H14" s="99" t="s">
        <v>52</v>
      </c>
      <c r="I14" s="24" t="s">
        <v>45</v>
      </c>
      <c r="J14" s="24" t="s">
        <v>73</v>
      </c>
      <c r="K14" s="23"/>
      <c r="L14" s="112"/>
      <c r="M14" s="125"/>
      <c r="N14" s="126"/>
      <c r="O14" s="245"/>
      <c r="P14" s="181"/>
      <c r="Q14" s="182"/>
      <c r="R14" s="274"/>
      <c r="S14" s="55"/>
    </row>
    <row r="15" spans="2:19" x14ac:dyDescent="0.25">
      <c r="B15" s="59" t="s">
        <v>53</v>
      </c>
      <c r="C15" s="55" t="s">
        <v>54</v>
      </c>
      <c r="D15" s="80" t="s">
        <v>206</v>
      </c>
      <c r="E15" s="86">
        <v>32.85</v>
      </c>
      <c r="F15" s="78" t="s">
        <v>61</v>
      </c>
      <c r="G15" s="86">
        <v>0</v>
      </c>
      <c r="H15" s="99"/>
      <c r="I15" s="24"/>
      <c r="J15" s="24"/>
      <c r="K15" s="22"/>
      <c r="L15" s="111"/>
      <c r="M15" s="125"/>
      <c r="N15" s="126"/>
      <c r="O15" s="245"/>
      <c r="P15" s="183" t="s">
        <v>118</v>
      </c>
      <c r="Q15" s="182">
        <f>1.15*2.1</f>
        <v>2.415</v>
      </c>
      <c r="R15" s="274"/>
      <c r="S15" s="55"/>
    </row>
    <row r="16" spans="2:19" ht="30" x14ac:dyDescent="0.25">
      <c r="B16" s="59" t="s">
        <v>55</v>
      </c>
      <c r="C16" s="69" t="s">
        <v>192</v>
      </c>
      <c r="D16" s="169" t="s">
        <v>213</v>
      </c>
      <c r="E16" s="86">
        <f>(551-E19-E18-E20)*0.1</f>
        <v>18.893620000000002</v>
      </c>
      <c r="F16" s="78" t="s">
        <v>56</v>
      </c>
      <c r="G16" s="105" t="s">
        <v>210</v>
      </c>
      <c r="H16" s="269" t="s">
        <v>64</v>
      </c>
      <c r="I16" s="266"/>
      <c r="J16" s="260"/>
      <c r="K16" s="260"/>
      <c r="L16" s="257"/>
      <c r="M16" s="238">
        <v>3</v>
      </c>
      <c r="N16" s="241">
        <f>1.6*2.33+2.57*2.04+2.54*2.28</f>
        <v>14.762</v>
      </c>
      <c r="O16" s="245"/>
      <c r="P16" s="184"/>
      <c r="Q16" s="185"/>
      <c r="R16" s="274"/>
      <c r="S16" s="254" t="s">
        <v>58</v>
      </c>
    </row>
    <row r="17" spans="2:19" ht="30" x14ac:dyDescent="0.25">
      <c r="B17" s="60" t="s">
        <v>55</v>
      </c>
      <c r="C17" s="70" t="s">
        <v>191</v>
      </c>
      <c r="D17" s="80" t="s">
        <v>206</v>
      </c>
      <c r="E17" s="86">
        <f>188.93*0.9</f>
        <v>170.03700000000001</v>
      </c>
      <c r="F17" s="78" t="s">
        <v>56</v>
      </c>
      <c r="G17" s="105" t="s">
        <v>210</v>
      </c>
      <c r="H17" s="270"/>
      <c r="I17" s="267"/>
      <c r="J17" s="261"/>
      <c r="K17" s="261"/>
      <c r="L17" s="258"/>
      <c r="M17" s="239"/>
      <c r="N17" s="242"/>
      <c r="O17" s="245"/>
      <c r="P17" s="186"/>
      <c r="Q17" s="187"/>
      <c r="R17" s="274"/>
      <c r="S17" s="255"/>
    </row>
    <row r="18" spans="2:19" ht="30" x14ac:dyDescent="0.25">
      <c r="B18" s="59" t="s">
        <v>55</v>
      </c>
      <c r="C18" s="71" t="s">
        <v>214</v>
      </c>
      <c r="D18" s="80" t="s">
        <v>206</v>
      </c>
      <c r="E18" s="86">
        <f>17.5*3.4</f>
        <v>59.5</v>
      </c>
      <c r="F18" s="79" t="s">
        <v>57</v>
      </c>
      <c r="G18" s="105" t="s">
        <v>210</v>
      </c>
      <c r="H18" s="271"/>
      <c r="I18" s="268"/>
      <c r="J18" s="262"/>
      <c r="K18" s="262"/>
      <c r="L18" s="259"/>
      <c r="M18" s="240"/>
      <c r="N18" s="243"/>
      <c r="O18" s="245"/>
      <c r="P18" s="183"/>
      <c r="Q18" s="188"/>
      <c r="R18" s="274"/>
      <c r="S18" s="256"/>
    </row>
    <row r="19" spans="2:19" ht="30" x14ac:dyDescent="0.25">
      <c r="B19" s="59" t="s">
        <v>55</v>
      </c>
      <c r="C19" s="225" t="s">
        <v>220</v>
      </c>
      <c r="D19" s="169" t="s">
        <v>213</v>
      </c>
      <c r="E19" s="86">
        <f>(21.83*(6.32+6.4+0.63+0.51))*0.3</f>
        <v>90.769140000000007</v>
      </c>
      <c r="F19" s="79" t="s">
        <v>182</v>
      </c>
      <c r="G19" s="105" t="s">
        <v>210</v>
      </c>
      <c r="H19" s="100" t="s">
        <v>64</v>
      </c>
      <c r="I19" s="31"/>
      <c r="J19" s="28"/>
      <c r="K19" s="28"/>
      <c r="L19" s="115"/>
      <c r="M19" s="129">
        <v>3</v>
      </c>
      <c r="N19" s="130">
        <f>2.53*2.59+2.5*2.59+2.69*2.59</f>
        <v>19.994799999999998</v>
      </c>
      <c r="O19" s="245"/>
      <c r="P19" s="183"/>
      <c r="Q19" s="188"/>
      <c r="R19" s="274"/>
      <c r="S19" s="140" t="s">
        <v>58</v>
      </c>
    </row>
    <row r="20" spans="2:19" ht="30" x14ac:dyDescent="0.25">
      <c r="B20" s="60" t="s">
        <v>55</v>
      </c>
      <c r="C20" s="226" t="s">
        <v>221</v>
      </c>
      <c r="D20" s="80" t="s">
        <v>206</v>
      </c>
      <c r="E20" s="86">
        <f>(21.83*(6.32+6.4+0.63+0.51))*0.7</f>
        <v>211.79465999999999</v>
      </c>
      <c r="F20" s="79" t="s">
        <v>182</v>
      </c>
      <c r="G20" s="105" t="s">
        <v>210</v>
      </c>
      <c r="H20" s="100" t="s">
        <v>64</v>
      </c>
      <c r="I20" s="31"/>
      <c r="J20" s="28"/>
      <c r="K20" s="28"/>
      <c r="L20" s="115"/>
      <c r="M20" s="129"/>
      <c r="N20" s="130"/>
      <c r="O20" s="245"/>
      <c r="P20" s="183"/>
      <c r="Q20" s="188"/>
      <c r="R20" s="274"/>
      <c r="S20" s="140"/>
    </row>
    <row r="21" spans="2:19" x14ac:dyDescent="0.25">
      <c r="B21" s="59" t="s">
        <v>59</v>
      </c>
      <c r="C21" s="72" t="s">
        <v>60</v>
      </c>
      <c r="D21" s="80" t="s">
        <v>206</v>
      </c>
      <c r="E21" s="86">
        <v>29.3</v>
      </c>
      <c r="F21" s="78" t="s">
        <v>61</v>
      </c>
      <c r="G21" s="106">
        <v>0</v>
      </c>
      <c r="H21" s="98"/>
      <c r="I21" s="31"/>
      <c r="J21" s="28"/>
      <c r="K21" s="28"/>
      <c r="L21" s="115"/>
      <c r="M21" s="129">
        <v>0</v>
      </c>
      <c r="N21" s="130">
        <v>0</v>
      </c>
      <c r="O21" s="245"/>
      <c r="P21" s="183" t="s">
        <v>119</v>
      </c>
      <c r="Q21" s="188">
        <f>2*1.15*2.1</f>
        <v>4.83</v>
      </c>
      <c r="R21" s="274"/>
      <c r="S21" s="140"/>
    </row>
    <row r="22" spans="2:19" x14ac:dyDescent="0.25">
      <c r="B22" s="59" t="s">
        <v>62</v>
      </c>
      <c r="C22" s="72" t="s">
        <v>2</v>
      </c>
      <c r="D22" s="80" t="s">
        <v>206</v>
      </c>
      <c r="E22" s="86">
        <v>90.5</v>
      </c>
      <c r="F22" s="79" t="s">
        <v>61</v>
      </c>
      <c r="G22" s="106">
        <v>0</v>
      </c>
      <c r="H22" s="98"/>
      <c r="I22" s="31"/>
      <c r="J22" s="28"/>
      <c r="K22" s="28"/>
      <c r="L22" s="115"/>
      <c r="M22" s="129">
        <v>6</v>
      </c>
      <c r="N22" s="130">
        <f>6*0.96*1.15</f>
        <v>6.6239999999999997</v>
      </c>
      <c r="O22" s="245"/>
      <c r="P22" s="183"/>
      <c r="Q22" s="188"/>
      <c r="R22" s="274"/>
      <c r="S22" s="140" t="s">
        <v>122</v>
      </c>
    </row>
    <row r="23" spans="2:19" x14ac:dyDescent="0.25">
      <c r="B23" s="59" t="s">
        <v>63</v>
      </c>
      <c r="C23" s="72" t="s">
        <v>4</v>
      </c>
      <c r="D23" s="80" t="s">
        <v>206</v>
      </c>
      <c r="E23" s="86">
        <v>6</v>
      </c>
      <c r="F23" s="79" t="s">
        <v>44</v>
      </c>
      <c r="G23" s="106">
        <v>0</v>
      </c>
      <c r="H23" s="98" t="s">
        <v>52</v>
      </c>
      <c r="I23" s="31" t="s">
        <v>45</v>
      </c>
      <c r="J23" s="28"/>
      <c r="K23" s="28" t="s">
        <v>72</v>
      </c>
      <c r="L23" s="115"/>
      <c r="M23" s="129">
        <v>0</v>
      </c>
      <c r="N23" s="130">
        <v>0</v>
      </c>
      <c r="O23" s="245"/>
      <c r="P23" s="183"/>
      <c r="Q23" s="188"/>
      <c r="R23" s="274"/>
      <c r="S23" s="140"/>
    </row>
    <row r="24" spans="2:19" x14ac:dyDescent="0.25">
      <c r="B24" s="59" t="s">
        <v>65</v>
      </c>
      <c r="C24" s="72" t="s">
        <v>4</v>
      </c>
      <c r="D24" s="80" t="s">
        <v>206</v>
      </c>
      <c r="E24" s="86">
        <v>14.4</v>
      </c>
      <c r="F24" s="79" t="s">
        <v>44</v>
      </c>
      <c r="G24" s="106">
        <v>0</v>
      </c>
      <c r="H24" s="98" t="s">
        <v>66</v>
      </c>
      <c r="I24" s="31" t="s">
        <v>67</v>
      </c>
      <c r="J24" s="28" t="s">
        <v>68</v>
      </c>
      <c r="K24" s="28" t="s">
        <v>73</v>
      </c>
      <c r="L24" s="115"/>
      <c r="M24" s="129"/>
      <c r="N24" s="130"/>
      <c r="O24" s="245"/>
      <c r="P24" s="183"/>
      <c r="Q24" s="188"/>
      <c r="R24" s="274"/>
      <c r="S24" s="140"/>
    </row>
    <row r="25" spans="2:19" x14ac:dyDescent="0.25">
      <c r="B25" s="59" t="s">
        <v>69</v>
      </c>
      <c r="C25" s="72" t="s">
        <v>4</v>
      </c>
      <c r="D25" s="80" t="s">
        <v>206</v>
      </c>
      <c r="E25" s="86">
        <v>28.1</v>
      </c>
      <c r="F25" s="79" t="s">
        <v>44</v>
      </c>
      <c r="G25" s="106">
        <v>0</v>
      </c>
      <c r="H25" s="98" t="s">
        <v>70</v>
      </c>
      <c r="I25" s="30" t="s">
        <v>52</v>
      </c>
      <c r="J25" s="28" t="s">
        <v>71</v>
      </c>
      <c r="K25" s="28" t="s">
        <v>72</v>
      </c>
      <c r="L25" s="115"/>
      <c r="M25" s="129"/>
      <c r="N25" s="130"/>
      <c r="O25" s="245"/>
      <c r="P25" s="183"/>
      <c r="Q25" s="188"/>
      <c r="R25" s="274"/>
      <c r="S25" s="140"/>
    </row>
    <row r="26" spans="2:19" x14ac:dyDescent="0.25">
      <c r="B26" s="59" t="s">
        <v>74</v>
      </c>
      <c r="C26" s="72" t="s">
        <v>4</v>
      </c>
      <c r="D26" s="80" t="s">
        <v>206</v>
      </c>
      <c r="E26" s="86">
        <v>5.9</v>
      </c>
      <c r="F26" s="79" t="s">
        <v>44</v>
      </c>
      <c r="G26" s="106">
        <v>0</v>
      </c>
      <c r="H26" s="98" t="s">
        <v>75</v>
      </c>
      <c r="I26" s="30" t="s">
        <v>45</v>
      </c>
      <c r="J26" s="28" t="s">
        <v>73</v>
      </c>
      <c r="K26" s="28"/>
      <c r="L26" s="115"/>
      <c r="M26" s="129"/>
      <c r="N26" s="130"/>
      <c r="O26" s="245"/>
      <c r="P26" s="183"/>
      <c r="Q26" s="188"/>
      <c r="R26" s="274"/>
      <c r="S26" s="140"/>
    </row>
    <row r="27" spans="2:19" ht="30" x14ac:dyDescent="0.25">
      <c r="B27" s="59" t="s">
        <v>76</v>
      </c>
      <c r="C27" s="72" t="s">
        <v>219</v>
      </c>
      <c r="D27" s="80" t="s">
        <v>206</v>
      </c>
      <c r="E27" s="86">
        <v>281.60000000000002</v>
      </c>
      <c r="F27" s="79" t="s">
        <v>61</v>
      </c>
      <c r="G27" s="106">
        <f>2.2*1.1</f>
        <v>2.4200000000000004</v>
      </c>
      <c r="H27" s="101" t="s">
        <v>167</v>
      </c>
      <c r="I27" s="32" t="s">
        <v>176</v>
      </c>
      <c r="J27" s="33" t="s">
        <v>168</v>
      </c>
      <c r="K27" s="43" t="s">
        <v>184</v>
      </c>
      <c r="L27" s="116" t="s">
        <v>185</v>
      </c>
      <c r="M27" s="129">
        <v>0</v>
      </c>
      <c r="N27" s="130">
        <v>0</v>
      </c>
      <c r="O27" s="245"/>
      <c r="P27" s="183" t="s">
        <v>110</v>
      </c>
      <c r="Q27" s="188">
        <f>2*(6.44*11.85)</f>
        <v>152.62800000000001</v>
      </c>
      <c r="R27" s="274"/>
      <c r="S27" s="140"/>
    </row>
    <row r="28" spans="2:19" x14ac:dyDescent="0.25">
      <c r="B28" s="59" t="s">
        <v>87</v>
      </c>
      <c r="C28" s="72" t="s">
        <v>4</v>
      </c>
      <c r="D28" s="80" t="s">
        <v>206</v>
      </c>
      <c r="E28" s="86">
        <v>11.3</v>
      </c>
      <c r="F28" s="79" t="s">
        <v>44</v>
      </c>
      <c r="G28" s="106">
        <v>0</v>
      </c>
      <c r="H28" s="99" t="s">
        <v>111</v>
      </c>
      <c r="I28" s="24" t="s">
        <v>45</v>
      </c>
      <c r="J28" s="24" t="s">
        <v>23</v>
      </c>
      <c r="K28" s="24" t="s">
        <v>73</v>
      </c>
      <c r="L28" s="115"/>
      <c r="M28" s="129"/>
      <c r="N28" s="130"/>
      <c r="O28" s="245"/>
      <c r="P28" s="183"/>
      <c r="Q28" s="188"/>
      <c r="R28" s="274"/>
      <c r="S28" s="140"/>
    </row>
    <row r="29" spans="2:19" x14ac:dyDescent="0.25">
      <c r="B29" s="59" t="s">
        <v>88</v>
      </c>
      <c r="C29" s="72" t="s">
        <v>4</v>
      </c>
      <c r="D29" s="80" t="s">
        <v>206</v>
      </c>
      <c r="E29" s="86">
        <v>17.7</v>
      </c>
      <c r="F29" s="79" t="s">
        <v>44</v>
      </c>
      <c r="G29" s="106">
        <v>0</v>
      </c>
      <c r="H29" s="99" t="s">
        <v>66</v>
      </c>
      <c r="I29" s="24" t="s">
        <v>112</v>
      </c>
      <c r="J29" s="24" t="s">
        <v>73</v>
      </c>
      <c r="K29" s="24"/>
      <c r="L29" s="115"/>
      <c r="M29" s="129"/>
      <c r="N29" s="130"/>
      <c r="O29" s="245"/>
      <c r="P29" s="183"/>
      <c r="Q29" s="188"/>
      <c r="R29" s="274"/>
      <c r="S29" s="140"/>
    </row>
    <row r="30" spans="2:19" x14ac:dyDescent="0.25">
      <c r="B30" s="59" t="s">
        <v>89</v>
      </c>
      <c r="C30" s="72" t="s">
        <v>4</v>
      </c>
      <c r="D30" s="80" t="s">
        <v>206</v>
      </c>
      <c r="E30" s="86">
        <v>5.3</v>
      </c>
      <c r="F30" s="79" t="s">
        <v>44</v>
      </c>
      <c r="G30" s="106">
        <v>0</v>
      </c>
      <c r="H30" s="98" t="s">
        <v>75</v>
      </c>
      <c r="I30" s="30" t="s">
        <v>45</v>
      </c>
      <c r="J30" s="28" t="s">
        <v>73</v>
      </c>
      <c r="K30" s="28"/>
      <c r="L30" s="115"/>
      <c r="M30" s="129"/>
      <c r="N30" s="130"/>
      <c r="O30" s="245"/>
      <c r="P30" s="183"/>
      <c r="Q30" s="188"/>
      <c r="R30" s="274"/>
      <c r="S30" s="140"/>
    </row>
    <row r="31" spans="2:19" x14ac:dyDescent="0.25">
      <c r="B31" s="59" t="s">
        <v>90</v>
      </c>
      <c r="C31" s="72" t="s">
        <v>2</v>
      </c>
      <c r="D31" s="80" t="s">
        <v>206</v>
      </c>
      <c r="E31" s="86">
        <v>7.7</v>
      </c>
      <c r="F31" s="79" t="s">
        <v>61</v>
      </c>
      <c r="G31" s="106">
        <v>0</v>
      </c>
      <c r="H31" s="98"/>
      <c r="I31" s="30"/>
      <c r="J31" s="28"/>
      <c r="K31" s="28"/>
      <c r="L31" s="115"/>
      <c r="M31" s="129">
        <v>0</v>
      </c>
      <c r="N31" s="130">
        <v>0</v>
      </c>
      <c r="O31" s="245"/>
      <c r="P31" s="183" t="s">
        <v>113</v>
      </c>
      <c r="Q31" s="188">
        <f>1*1.7*3.26</f>
        <v>5.5419999999999998</v>
      </c>
      <c r="R31" s="274"/>
      <c r="S31" s="140"/>
    </row>
    <row r="32" spans="2:19" x14ac:dyDescent="0.25">
      <c r="B32" s="59" t="s">
        <v>91</v>
      </c>
      <c r="C32" s="72" t="s">
        <v>114</v>
      </c>
      <c r="D32" s="80" t="s">
        <v>202</v>
      </c>
      <c r="E32" s="86">
        <v>31.6</v>
      </c>
      <c r="F32" s="79" t="s">
        <v>61</v>
      </c>
      <c r="G32" s="106">
        <v>0</v>
      </c>
      <c r="H32" s="98"/>
      <c r="I32" s="30"/>
      <c r="J32" s="28"/>
      <c r="K32" s="28"/>
      <c r="L32" s="115"/>
      <c r="M32" s="129">
        <v>0</v>
      </c>
      <c r="N32" s="130">
        <v>0</v>
      </c>
      <c r="O32" s="245"/>
      <c r="P32" s="183" t="s">
        <v>115</v>
      </c>
      <c r="Q32" s="188">
        <f>4.57*3.26</f>
        <v>14.898199999999999</v>
      </c>
      <c r="R32" s="274"/>
      <c r="S32" s="140"/>
    </row>
    <row r="33" spans="2:19" ht="45" x14ac:dyDescent="0.25">
      <c r="B33" s="61" t="s">
        <v>92</v>
      </c>
      <c r="C33" s="71" t="s">
        <v>116</v>
      </c>
      <c r="D33" s="80" t="s">
        <v>202</v>
      </c>
      <c r="E33" s="87">
        <v>15.2</v>
      </c>
      <c r="F33" s="92" t="s">
        <v>61</v>
      </c>
      <c r="G33" s="107">
        <v>0</v>
      </c>
      <c r="H33" s="98"/>
      <c r="I33" s="30"/>
      <c r="J33" s="28"/>
      <c r="K33" s="28"/>
      <c r="L33" s="115"/>
      <c r="M33" s="129">
        <v>0</v>
      </c>
      <c r="N33" s="130">
        <v>0</v>
      </c>
      <c r="O33" s="245"/>
      <c r="P33" s="189" t="s">
        <v>117</v>
      </c>
      <c r="Q33" s="188">
        <f>3.66*3.26+3.1*3.26</f>
        <v>22.037599999999998</v>
      </c>
      <c r="R33" s="274"/>
      <c r="S33" s="140"/>
    </row>
    <row r="34" spans="2:19" x14ac:dyDescent="0.25">
      <c r="B34" s="59" t="s">
        <v>93</v>
      </c>
      <c r="C34" s="72" t="s">
        <v>100</v>
      </c>
      <c r="D34" s="80" t="s">
        <v>206</v>
      </c>
      <c r="E34" s="86">
        <v>21</v>
      </c>
      <c r="F34" s="79" t="s">
        <v>61</v>
      </c>
      <c r="G34" s="106">
        <f>9.8*0.8</f>
        <v>7.8400000000000007</v>
      </c>
      <c r="H34" s="102" t="s">
        <v>169</v>
      </c>
      <c r="I34" s="30"/>
      <c r="J34" s="28"/>
      <c r="K34" s="28"/>
      <c r="L34" s="115"/>
      <c r="M34" s="129"/>
      <c r="N34" s="130"/>
      <c r="O34" s="245"/>
      <c r="P34" s="183" t="s">
        <v>170</v>
      </c>
      <c r="Q34" s="188">
        <v>8</v>
      </c>
      <c r="R34" s="274"/>
      <c r="S34" s="140" t="s">
        <v>103</v>
      </c>
    </row>
    <row r="35" spans="2:19" x14ac:dyDescent="0.25">
      <c r="B35" s="59" t="s">
        <v>94</v>
      </c>
      <c r="C35" s="72" t="s">
        <v>102</v>
      </c>
      <c r="D35" s="80" t="s">
        <v>197</v>
      </c>
      <c r="E35" s="86">
        <v>0</v>
      </c>
      <c r="F35" s="79" t="s">
        <v>44</v>
      </c>
      <c r="G35" s="106">
        <v>0</v>
      </c>
      <c r="H35" s="98"/>
      <c r="I35" s="30"/>
      <c r="J35" s="28"/>
      <c r="K35" s="28"/>
      <c r="L35" s="115"/>
      <c r="M35" s="129"/>
      <c r="N35" s="130"/>
      <c r="O35" s="245"/>
      <c r="P35" s="183"/>
      <c r="Q35" s="188"/>
      <c r="R35" s="274"/>
      <c r="S35" s="140"/>
    </row>
    <row r="36" spans="2:19" x14ac:dyDescent="0.25">
      <c r="B36" s="59" t="s">
        <v>95</v>
      </c>
      <c r="C36" s="72" t="s">
        <v>2</v>
      </c>
      <c r="D36" s="80" t="s">
        <v>206</v>
      </c>
      <c r="E36" s="86">
        <v>90</v>
      </c>
      <c r="F36" s="79" t="s">
        <v>61</v>
      </c>
      <c r="G36" s="106">
        <v>0</v>
      </c>
      <c r="H36" s="98"/>
      <c r="I36" s="30"/>
      <c r="J36" s="28"/>
      <c r="K36" s="28"/>
      <c r="L36" s="115"/>
      <c r="M36" s="129">
        <v>6</v>
      </c>
      <c r="N36" s="130">
        <f>4*0.96*1.36+2*0.96*1.51</f>
        <v>8.1216000000000008</v>
      </c>
      <c r="O36" s="245"/>
      <c r="P36" s="183" t="s">
        <v>120</v>
      </c>
      <c r="Q36" s="188">
        <f>2*1.15*2.1</f>
        <v>4.83</v>
      </c>
      <c r="R36" s="274"/>
      <c r="S36" s="140"/>
    </row>
    <row r="37" spans="2:19" ht="30" x14ac:dyDescent="0.25">
      <c r="B37" s="59" t="s">
        <v>96</v>
      </c>
      <c r="C37" s="176" t="s">
        <v>104</v>
      </c>
      <c r="D37" s="177" t="s">
        <v>199</v>
      </c>
      <c r="E37" s="86">
        <v>0</v>
      </c>
      <c r="F37" s="79" t="s">
        <v>44</v>
      </c>
      <c r="G37" s="106">
        <v>0</v>
      </c>
      <c r="H37" s="98" t="s">
        <v>52</v>
      </c>
      <c r="I37" s="30" t="s">
        <v>105</v>
      </c>
      <c r="J37" s="28"/>
      <c r="K37" s="28"/>
      <c r="L37" s="115"/>
      <c r="M37" s="129">
        <v>0</v>
      </c>
      <c r="N37" s="130">
        <v>0</v>
      </c>
      <c r="O37" s="245"/>
      <c r="P37" s="183">
        <v>0</v>
      </c>
      <c r="Q37" s="188">
        <v>0</v>
      </c>
      <c r="R37" s="274"/>
      <c r="S37" s="140"/>
    </row>
    <row r="38" spans="2:19" x14ac:dyDescent="0.25">
      <c r="B38" s="59" t="s">
        <v>97</v>
      </c>
      <c r="C38" s="72" t="s">
        <v>2</v>
      </c>
      <c r="D38" s="80" t="s">
        <v>206</v>
      </c>
      <c r="E38" s="86">
        <v>11.5</v>
      </c>
      <c r="F38" s="79" t="s">
        <v>44</v>
      </c>
      <c r="G38" s="106">
        <v>0</v>
      </c>
      <c r="H38" s="98"/>
      <c r="I38" s="30"/>
      <c r="J38" s="28"/>
      <c r="K38" s="28"/>
      <c r="L38" s="115"/>
      <c r="M38" s="129">
        <v>0</v>
      </c>
      <c r="N38" s="130">
        <v>0</v>
      </c>
      <c r="O38" s="245"/>
      <c r="P38" s="183">
        <v>0</v>
      </c>
      <c r="Q38" s="188">
        <v>0</v>
      </c>
      <c r="R38" s="275"/>
      <c r="S38" s="140" t="s">
        <v>106</v>
      </c>
    </row>
    <row r="39" spans="2:19" x14ac:dyDescent="0.25">
      <c r="B39" s="59" t="s">
        <v>98</v>
      </c>
      <c r="C39" s="72" t="s">
        <v>109</v>
      </c>
      <c r="D39" s="80" t="s">
        <v>197</v>
      </c>
      <c r="E39" s="86">
        <v>0</v>
      </c>
      <c r="F39" s="93" t="s">
        <v>44</v>
      </c>
      <c r="G39" s="106">
        <v>0</v>
      </c>
      <c r="H39" s="98" t="s">
        <v>165</v>
      </c>
      <c r="I39" s="30"/>
      <c r="J39" s="28"/>
      <c r="K39" s="28"/>
      <c r="L39" s="115"/>
      <c r="M39" s="129"/>
      <c r="N39" s="130"/>
      <c r="O39" s="245"/>
      <c r="P39" s="183"/>
      <c r="Q39" s="188"/>
      <c r="R39" s="232"/>
      <c r="S39" s="141" t="s">
        <v>121</v>
      </c>
    </row>
    <row r="40" spans="2:19" x14ac:dyDescent="0.25">
      <c r="B40" s="59" t="s">
        <v>99</v>
      </c>
      <c r="C40" s="72" t="s">
        <v>109</v>
      </c>
      <c r="D40" s="80" t="s">
        <v>197</v>
      </c>
      <c r="E40" s="86">
        <v>0</v>
      </c>
      <c r="F40" s="93" t="s">
        <v>44</v>
      </c>
      <c r="G40" s="106">
        <v>0</v>
      </c>
      <c r="H40" s="98"/>
      <c r="I40" s="30"/>
      <c r="J40" s="28"/>
      <c r="K40" s="28"/>
      <c r="L40" s="115"/>
      <c r="M40" s="129"/>
      <c r="N40" s="130"/>
      <c r="O40" s="245"/>
      <c r="P40" s="183"/>
      <c r="Q40" s="188"/>
      <c r="R40" s="232"/>
      <c r="S40" s="141" t="s">
        <v>121</v>
      </c>
    </row>
    <row r="41" spans="2:19" ht="15.75" thickBot="1" x14ac:dyDescent="0.3">
      <c r="B41" s="62"/>
      <c r="C41" s="73"/>
      <c r="D41" s="81"/>
      <c r="E41" s="88"/>
      <c r="F41" s="94"/>
      <c r="G41" s="108"/>
      <c r="H41" s="103"/>
      <c r="I41" s="34"/>
      <c r="J41" s="35"/>
      <c r="K41" s="35"/>
      <c r="L41" s="114"/>
      <c r="M41" s="127"/>
      <c r="N41" s="128">
        <f>N36+N22+N19+N16+N4+N5+N6+N7+N8+N9+N10+N11</f>
        <v>63.716999999999999</v>
      </c>
      <c r="O41" s="246"/>
      <c r="P41" s="186"/>
      <c r="Q41" s="187">
        <f>Q15+Q21+Q27+Q31+Q32+Q33+Q34+Q36</f>
        <v>215.18080000000003</v>
      </c>
      <c r="R41" s="231"/>
      <c r="S41" s="139"/>
    </row>
    <row r="42" spans="2:19" ht="60" x14ac:dyDescent="0.25">
      <c r="B42" s="63" t="s">
        <v>25</v>
      </c>
      <c r="C42" s="74" t="s">
        <v>166</v>
      </c>
      <c r="D42" s="170" t="s">
        <v>200</v>
      </c>
      <c r="E42" s="89" t="s">
        <v>201</v>
      </c>
      <c r="F42" s="95" t="s">
        <v>186</v>
      </c>
      <c r="G42" s="89"/>
      <c r="H42" s="104"/>
      <c r="I42" s="39"/>
      <c r="J42" s="37"/>
      <c r="K42" s="37"/>
      <c r="L42" s="38"/>
      <c r="M42" s="131"/>
      <c r="N42" s="132"/>
      <c r="O42" s="121"/>
      <c r="P42" s="190"/>
      <c r="Q42" s="191"/>
      <c r="R42" s="233"/>
      <c r="S42" s="142" t="s">
        <v>181</v>
      </c>
    </row>
    <row r="43" spans="2:19" ht="60" x14ac:dyDescent="0.25">
      <c r="B43" s="64" t="s">
        <v>25</v>
      </c>
      <c r="C43" s="75" t="s">
        <v>177</v>
      </c>
      <c r="D43" s="171" t="s">
        <v>200</v>
      </c>
      <c r="E43" s="90" t="s">
        <v>107</v>
      </c>
      <c r="F43" s="96" t="s">
        <v>187</v>
      </c>
      <c r="G43" s="109"/>
      <c r="H43" s="82"/>
      <c r="I43" s="40"/>
      <c r="J43" s="40"/>
      <c r="K43" s="41"/>
      <c r="L43" s="117"/>
      <c r="M43" s="133"/>
      <c r="N43" s="134"/>
      <c r="O43" s="96"/>
      <c r="P43" s="192"/>
      <c r="Q43" s="193"/>
      <c r="R43" s="234"/>
      <c r="S43" s="143" t="s">
        <v>180</v>
      </c>
    </row>
    <row r="44" spans="2:19" ht="60.75" thickBot="1" x14ac:dyDescent="0.3">
      <c r="B44" s="65" t="s">
        <v>25</v>
      </c>
      <c r="C44" s="76" t="s">
        <v>178</v>
      </c>
      <c r="D44" s="172" t="s">
        <v>198</v>
      </c>
      <c r="E44" s="91" t="s">
        <v>108</v>
      </c>
      <c r="F44" s="97" t="s">
        <v>188</v>
      </c>
      <c r="G44" s="110"/>
      <c r="H44" s="83"/>
      <c r="I44" s="42"/>
      <c r="J44" s="42"/>
      <c r="K44" s="42"/>
      <c r="L44" s="118"/>
      <c r="M44" s="135"/>
      <c r="N44" s="136"/>
      <c r="O44" s="122"/>
      <c r="P44" s="194"/>
      <c r="Q44" s="195"/>
      <c r="R44" s="235"/>
      <c r="S44" s="144" t="s">
        <v>179</v>
      </c>
    </row>
    <row r="45" spans="2:19" x14ac:dyDescent="0.25">
      <c r="B45" s="3"/>
      <c r="H45" s="5"/>
      <c r="I45" s="5"/>
      <c r="J45" s="5"/>
      <c r="L45" s="5"/>
    </row>
    <row r="46" spans="2:19" ht="30" x14ac:dyDescent="0.25">
      <c r="B46" s="3"/>
      <c r="C46" s="174" t="s">
        <v>204</v>
      </c>
      <c r="D46" s="175" t="s">
        <v>205</v>
      </c>
      <c r="H46" s="5"/>
      <c r="I46" s="5"/>
      <c r="J46" s="5"/>
      <c r="L46" s="5"/>
    </row>
    <row r="47" spans="2:19" ht="30" x14ac:dyDescent="0.25">
      <c r="B47" s="3"/>
      <c r="C47" s="174" t="s">
        <v>206</v>
      </c>
      <c r="D47" s="175" t="s">
        <v>207</v>
      </c>
      <c r="H47" s="5"/>
      <c r="I47" s="5"/>
      <c r="J47" s="5"/>
      <c r="L47" s="5"/>
    </row>
    <row r="48" spans="2:19" ht="15.75" thickBot="1" x14ac:dyDescent="0.3">
      <c r="B48" s="3"/>
      <c r="H48" s="5"/>
      <c r="I48" s="5"/>
      <c r="J48" s="5"/>
      <c r="K48" s="5"/>
      <c r="L48" s="5"/>
    </row>
    <row r="49" spans="2:12" ht="60.75" thickBot="1" x14ac:dyDescent="0.3">
      <c r="B49" s="3"/>
      <c r="C49" s="197" t="s">
        <v>37</v>
      </c>
      <c r="D49" s="197" t="s">
        <v>212</v>
      </c>
      <c r="E49" s="15" t="s">
        <v>30</v>
      </c>
      <c r="F49" s="168" t="s">
        <v>211</v>
      </c>
      <c r="H49" s="5"/>
      <c r="I49" s="5"/>
      <c r="J49" s="5"/>
      <c r="K49" s="5"/>
      <c r="L49" s="5"/>
    </row>
    <row r="50" spans="2:12" x14ac:dyDescent="0.25">
      <c r="B50" s="3"/>
      <c r="C50" s="45" t="s">
        <v>20</v>
      </c>
      <c r="D50" s="199" t="s">
        <v>204</v>
      </c>
      <c r="E50" s="198">
        <f>E4+E6+E9+E10+-G4-G6-G9-G10</f>
        <v>72.419999999999987</v>
      </c>
      <c r="F50" s="68">
        <f>E50*21</f>
        <v>1520.8199999999997</v>
      </c>
      <c r="H50" s="5"/>
      <c r="I50" s="5"/>
      <c r="J50" s="5"/>
      <c r="K50" s="5"/>
      <c r="L50" s="5"/>
    </row>
    <row r="51" spans="2:12" x14ac:dyDescent="0.25">
      <c r="B51" s="3"/>
      <c r="C51" s="45" t="s">
        <v>44</v>
      </c>
      <c r="D51" s="199" t="s">
        <v>204</v>
      </c>
      <c r="E51" s="198">
        <f>E5+E7+E8+E11+E14</f>
        <v>102.50000000000001</v>
      </c>
      <c r="F51" s="55">
        <f>E51*21</f>
        <v>2152.5000000000005</v>
      </c>
      <c r="H51" s="5"/>
      <c r="I51" s="5"/>
      <c r="J51" s="5"/>
      <c r="K51" s="5"/>
      <c r="L51" s="5"/>
    </row>
    <row r="52" spans="2:12" x14ac:dyDescent="0.25">
      <c r="B52" s="3"/>
      <c r="C52" s="45" t="s">
        <v>44</v>
      </c>
      <c r="D52" s="199" t="s">
        <v>206</v>
      </c>
      <c r="E52" s="198">
        <f>E23-G23+E24-G24+E25-G25+E26-G26+E28-G28+E29-G29+E30-G30+E35-G35+E38-G38</f>
        <v>100.2</v>
      </c>
      <c r="F52" s="55">
        <f>E52*25</f>
        <v>2505</v>
      </c>
      <c r="H52" s="5"/>
      <c r="I52" s="5"/>
      <c r="J52" s="5"/>
      <c r="K52" s="5"/>
      <c r="L52" s="5"/>
    </row>
    <row r="53" spans="2:12" x14ac:dyDescent="0.25">
      <c r="B53" s="3"/>
      <c r="C53" s="46" t="s">
        <v>61</v>
      </c>
      <c r="D53" s="199" t="s">
        <v>206</v>
      </c>
      <c r="E53" s="202">
        <f>E15+E21+E22+E27+E31+E34+E36+-G15-G21-G22-G27-G31-G34-G36</f>
        <v>542.69000000000005</v>
      </c>
      <c r="F53" s="55">
        <f>E53*25</f>
        <v>13567.250000000002</v>
      </c>
      <c r="H53" s="5"/>
      <c r="I53" s="5"/>
      <c r="J53" s="5"/>
      <c r="K53" s="5"/>
      <c r="L53" s="5"/>
    </row>
    <row r="54" spans="2:12" x14ac:dyDescent="0.25">
      <c r="B54" s="3"/>
      <c r="C54" s="46" t="s">
        <v>61</v>
      </c>
      <c r="D54" s="200" t="s">
        <v>202</v>
      </c>
      <c r="E54" s="202">
        <f>E32-G32+E33-G33</f>
        <v>46.8</v>
      </c>
      <c r="F54" s="55">
        <f>E54*4</f>
        <v>187.2</v>
      </c>
      <c r="H54" s="5"/>
      <c r="I54" s="5"/>
      <c r="J54" s="5"/>
      <c r="K54" s="5"/>
      <c r="L54" s="5"/>
    </row>
    <row r="55" spans="2:12" ht="30" x14ac:dyDescent="0.25">
      <c r="B55" s="3"/>
      <c r="C55" s="46" t="s">
        <v>225</v>
      </c>
      <c r="D55" s="200" t="s">
        <v>202</v>
      </c>
      <c r="E55" s="202">
        <f>E16</f>
        <v>18.893620000000002</v>
      </c>
      <c r="F55" s="55">
        <f>E55*4</f>
        <v>75.574480000000008</v>
      </c>
      <c r="H55" s="5"/>
      <c r="I55" s="5"/>
      <c r="J55" s="5"/>
      <c r="K55" s="5"/>
      <c r="L55" s="5"/>
    </row>
    <row r="56" spans="2:12" ht="30" x14ac:dyDescent="0.25">
      <c r="B56" s="3"/>
      <c r="C56" s="46" t="s">
        <v>224</v>
      </c>
      <c r="D56" s="199" t="s">
        <v>206</v>
      </c>
      <c r="E56" s="202">
        <f>E17</f>
        <v>170.03700000000001</v>
      </c>
      <c r="F56" s="55">
        <f>E56*25</f>
        <v>4250.9250000000002</v>
      </c>
      <c r="H56" s="5"/>
      <c r="I56" s="5"/>
      <c r="J56" s="5"/>
      <c r="K56" s="5"/>
      <c r="L56" s="5"/>
    </row>
    <row r="57" spans="2:12" x14ac:dyDescent="0.25">
      <c r="B57" s="3"/>
      <c r="C57" s="46" t="s">
        <v>57</v>
      </c>
      <c r="D57" s="199" t="s">
        <v>206</v>
      </c>
      <c r="E57" s="202">
        <f>E18</f>
        <v>59.5</v>
      </c>
      <c r="F57" s="55">
        <f>E57*25</f>
        <v>1487.5</v>
      </c>
      <c r="H57" s="5"/>
      <c r="I57" s="5"/>
      <c r="J57" s="5"/>
      <c r="K57" s="5"/>
      <c r="L57" s="5"/>
    </row>
    <row r="58" spans="2:12" x14ac:dyDescent="0.25">
      <c r="B58" s="3"/>
      <c r="C58" s="46" t="s">
        <v>222</v>
      </c>
      <c r="D58" s="200" t="s">
        <v>202</v>
      </c>
      <c r="E58" s="202">
        <f>E19</f>
        <v>90.769140000000007</v>
      </c>
      <c r="F58" s="55">
        <f>E58*4</f>
        <v>363.07656000000003</v>
      </c>
      <c r="H58" s="5"/>
      <c r="I58" s="5"/>
      <c r="J58" s="5"/>
      <c r="K58" s="5"/>
      <c r="L58" s="5"/>
    </row>
    <row r="59" spans="2:12" ht="30" x14ac:dyDescent="0.25">
      <c r="B59" s="3"/>
      <c r="C59" s="46" t="s">
        <v>223</v>
      </c>
      <c r="D59" s="199" t="s">
        <v>206</v>
      </c>
      <c r="E59" s="202">
        <f>E20</f>
        <v>211.79465999999999</v>
      </c>
      <c r="F59" s="55">
        <f>E59*25</f>
        <v>5294.8665000000001</v>
      </c>
      <c r="H59" s="5"/>
      <c r="I59" s="5"/>
      <c r="J59" s="5"/>
      <c r="K59" s="5"/>
      <c r="L59" s="5"/>
    </row>
    <row r="60" spans="2:12" x14ac:dyDescent="0.25">
      <c r="B60" s="3"/>
      <c r="C60" s="47" t="s">
        <v>183</v>
      </c>
      <c r="D60" s="236" t="s">
        <v>236</v>
      </c>
      <c r="E60" s="203">
        <f>N41</f>
        <v>63.716999999999999</v>
      </c>
      <c r="F60" s="55"/>
      <c r="H60" s="5"/>
      <c r="I60" s="5"/>
      <c r="J60" s="5"/>
      <c r="K60" s="5"/>
      <c r="L60" s="5"/>
    </row>
    <row r="61" spans="2:12" ht="15.75" thickBot="1" x14ac:dyDescent="0.3">
      <c r="C61" s="48" t="s">
        <v>101</v>
      </c>
      <c r="D61" s="201" t="s">
        <v>206</v>
      </c>
      <c r="E61" s="204">
        <f>Q41</f>
        <v>215.18080000000003</v>
      </c>
      <c r="F61" s="56"/>
      <c r="H61" s="5"/>
      <c r="I61" s="5"/>
      <c r="J61" s="5"/>
      <c r="K61" s="5"/>
      <c r="L61" s="5"/>
    </row>
    <row r="62" spans="2:12" x14ac:dyDescent="0.25">
      <c r="F62">
        <f>SUM(F50:F61)</f>
        <v>31404.71254</v>
      </c>
      <c r="G62" t="s">
        <v>215</v>
      </c>
      <c r="H62" s="5"/>
      <c r="I62" s="5"/>
      <c r="J62" s="5"/>
      <c r="K62" s="5"/>
      <c r="L62" s="5"/>
    </row>
    <row r="63" spans="2:12" x14ac:dyDescent="0.25">
      <c r="H63" s="5"/>
      <c r="I63" s="5"/>
      <c r="J63" s="5"/>
      <c r="K63" s="5"/>
      <c r="L63" s="5"/>
    </row>
    <row r="64" spans="2:12" x14ac:dyDescent="0.25">
      <c r="H64" s="5"/>
      <c r="I64" s="5"/>
      <c r="J64" s="5"/>
      <c r="K64" s="5"/>
      <c r="L64" s="5"/>
    </row>
    <row r="65" spans="8:12" x14ac:dyDescent="0.25">
      <c r="H65" s="5"/>
      <c r="I65" s="5"/>
      <c r="J65" s="5"/>
      <c r="K65" s="5"/>
      <c r="L65" s="5"/>
    </row>
    <row r="66" spans="8:12" x14ac:dyDescent="0.25">
      <c r="H66" s="5"/>
      <c r="I66" s="5"/>
      <c r="J66" s="5"/>
      <c r="K66" s="5"/>
      <c r="L66" s="5"/>
    </row>
    <row r="67" spans="8:12" x14ac:dyDescent="0.25">
      <c r="H67" s="5"/>
      <c r="I67" s="5"/>
      <c r="J67" s="5"/>
      <c r="K67" s="5"/>
      <c r="L67" s="5"/>
    </row>
    <row r="68" spans="8:12" x14ac:dyDescent="0.25">
      <c r="H68" s="5"/>
      <c r="I68" s="5"/>
      <c r="J68" s="5"/>
      <c r="K68" s="5"/>
      <c r="L68" s="5"/>
    </row>
    <row r="69" spans="8:12" x14ac:dyDescent="0.25">
      <c r="H69" s="5"/>
      <c r="I69" s="5"/>
      <c r="J69" s="5"/>
      <c r="K69" s="5"/>
      <c r="L69" s="5"/>
    </row>
    <row r="70" spans="8:12" x14ac:dyDescent="0.25">
      <c r="H70" s="5"/>
      <c r="I70" s="5"/>
      <c r="J70" s="5"/>
      <c r="K70" s="5"/>
      <c r="L70" s="5"/>
    </row>
    <row r="71" spans="8:12" x14ac:dyDescent="0.25">
      <c r="H71" s="5"/>
      <c r="I71" s="5"/>
      <c r="J71" s="5"/>
      <c r="K71" s="5"/>
      <c r="L71" s="5"/>
    </row>
    <row r="72" spans="8:12" x14ac:dyDescent="0.25">
      <c r="H72" s="5"/>
      <c r="I72" s="5"/>
      <c r="J72" s="5"/>
      <c r="K72" s="5"/>
      <c r="L72" s="5"/>
    </row>
    <row r="73" spans="8:12" x14ac:dyDescent="0.25">
      <c r="H73" s="5"/>
      <c r="I73" s="5"/>
      <c r="J73" s="5"/>
      <c r="K73" s="5"/>
      <c r="L73" s="5"/>
    </row>
    <row r="74" spans="8:12" x14ac:dyDescent="0.25">
      <c r="H74" s="5"/>
      <c r="I74" s="5"/>
      <c r="J74" s="5"/>
      <c r="K74" s="5"/>
      <c r="L74" s="5"/>
    </row>
    <row r="75" spans="8:12" x14ac:dyDescent="0.25">
      <c r="H75" s="5"/>
      <c r="I75" s="5"/>
      <c r="J75" s="5"/>
      <c r="K75" s="5"/>
      <c r="L75" s="5"/>
    </row>
    <row r="76" spans="8:12" x14ac:dyDescent="0.25">
      <c r="H76" s="5"/>
      <c r="I76" s="5"/>
      <c r="J76" s="5"/>
      <c r="K76" s="5"/>
      <c r="L76" s="5"/>
    </row>
    <row r="77" spans="8:12" x14ac:dyDescent="0.25">
      <c r="H77" s="5"/>
      <c r="I77" s="5"/>
      <c r="J77" s="5"/>
      <c r="K77" s="5"/>
      <c r="L77" s="5"/>
    </row>
    <row r="78" spans="8:12" x14ac:dyDescent="0.25">
      <c r="H78" s="5"/>
      <c r="I78" s="5"/>
      <c r="J78" s="5"/>
      <c r="K78" s="5"/>
      <c r="L78" s="5"/>
    </row>
    <row r="79" spans="8:12" x14ac:dyDescent="0.25">
      <c r="H79" s="5"/>
      <c r="I79" s="5"/>
      <c r="J79" s="5"/>
      <c r="K79" s="5"/>
      <c r="L79" s="5"/>
    </row>
    <row r="80" spans="8:12" x14ac:dyDescent="0.25">
      <c r="H80" s="5"/>
      <c r="I80" s="5"/>
      <c r="J80" s="5"/>
      <c r="K80" s="5"/>
      <c r="L80" s="5"/>
    </row>
    <row r="81" spans="8:12" x14ac:dyDescent="0.25">
      <c r="H81" s="5"/>
      <c r="I81" s="5"/>
      <c r="J81" s="5"/>
      <c r="K81" s="5"/>
      <c r="L81" s="5"/>
    </row>
    <row r="82" spans="8:12" x14ac:dyDescent="0.25">
      <c r="H82" s="5"/>
      <c r="I82" s="5"/>
      <c r="J82" s="5"/>
      <c r="K82" s="5"/>
      <c r="L82" s="5"/>
    </row>
    <row r="83" spans="8:12" x14ac:dyDescent="0.25">
      <c r="H83" s="5"/>
      <c r="I83" s="5"/>
      <c r="J83" s="5"/>
      <c r="K83" s="5"/>
      <c r="L83" s="5"/>
    </row>
    <row r="84" spans="8:12" x14ac:dyDescent="0.25">
      <c r="H84" s="5"/>
      <c r="I84" s="5"/>
      <c r="J84" s="5"/>
      <c r="K84" s="5"/>
      <c r="L84" s="5"/>
    </row>
    <row r="85" spans="8:12" x14ac:dyDescent="0.25">
      <c r="H85" s="5"/>
      <c r="I85" s="5"/>
      <c r="J85" s="5"/>
      <c r="K85" s="5"/>
      <c r="L85" s="5"/>
    </row>
    <row r="86" spans="8:12" x14ac:dyDescent="0.25">
      <c r="H86" s="5"/>
      <c r="I86" s="5"/>
      <c r="J86" s="5"/>
      <c r="K86" s="5"/>
      <c r="L86" s="5"/>
    </row>
    <row r="87" spans="8:12" x14ac:dyDescent="0.25">
      <c r="H87" s="5"/>
      <c r="I87" s="5"/>
      <c r="J87" s="5"/>
      <c r="K87" s="5"/>
      <c r="L87" s="5"/>
    </row>
    <row r="88" spans="8:12" x14ac:dyDescent="0.25">
      <c r="H88" s="5"/>
      <c r="I88" s="5"/>
      <c r="J88" s="5"/>
      <c r="K88" s="5"/>
      <c r="L88" s="5"/>
    </row>
    <row r="89" spans="8:12" x14ac:dyDescent="0.25">
      <c r="H89" s="5"/>
      <c r="I89" s="5"/>
      <c r="J89" s="5"/>
      <c r="K89" s="5"/>
      <c r="L89" s="5"/>
    </row>
    <row r="90" spans="8:12" x14ac:dyDescent="0.25">
      <c r="H90" s="5"/>
      <c r="I90" s="5"/>
      <c r="J90" s="5"/>
      <c r="K90" s="5"/>
      <c r="L90" s="5"/>
    </row>
    <row r="91" spans="8:12" x14ac:dyDescent="0.25">
      <c r="H91" s="5"/>
      <c r="I91" s="5"/>
      <c r="J91" s="5"/>
      <c r="K91" s="5"/>
      <c r="L91" s="5"/>
    </row>
    <row r="92" spans="8:12" x14ac:dyDescent="0.25">
      <c r="H92" s="5"/>
      <c r="I92" s="5"/>
      <c r="J92" s="5"/>
      <c r="K92" s="5"/>
      <c r="L92" s="5"/>
    </row>
    <row r="93" spans="8:12" x14ac:dyDescent="0.25">
      <c r="H93" s="5"/>
      <c r="I93" s="5"/>
      <c r="J93" s="5"/>
      <c r="K93" s="5"/>
      <c r="L93" s="5"/>
    </row>
    <row r="94" spans="8:12" x14ac:dyDescent="0.25">
      <c r="H94" s="5"/>
      <c r="I94" s="5"/>
      <c r="J94" s="5"/>
      <c r="K94" s="5"/>
      <c r="L94" s="5"/>
    </row>
    <row r="95" spans="8:12" x14ac:dyDescent="0.25">
      <c r="H95" s="5"/>
      <c r="I95" s="5"/>
      <c r="J95" s="5"/>
      <c r="K95" s="5"/>
      <c r="L95" s="5"/>
    </row>
    <row r="96" spans="8:12" x14ac:dyDescent="0.25">
      <c r="H96" s="5"/>
      <c r="I96" s="5"/>
      <c r="J96" s="5"/>
      <c r="K96" s="5"/>
      <c r="L96" s="5"/>
    </row>
    <row r="97" spans="8:12" x14ac:dyDescent="0.25">
      <c r="H97" s="5"/>
      <c r="I97" s="5"/>
      <c r="J97" s="5"/>
      <c r="K97" s="5"/>
      <c r="L97" s="5"/>
    </row>
    <row r="98" spans="8:12" x14ac:dyDescent="0.25">
      <c r="H98" s="5"/>
      <c r="I98" s="5"/>
      <c r="J98" s="5"/>
      <c r="K98" s="5"/>
      <c r="L98" s="5"/>
    </row>
    <row r="99" spans="8:12" x14ac:dyDescent="0.25">
      <c r="H99" s="5"/>
      <c r="I99" s="5"/>
      <c r="J99" s="5"/>
      <c r="K99" s="5"/>
      <c r="L99" s="5"/>
    </row>
    <row r="100" spans="8:12" x14ac:dyDescent="0.25">
      <c r="H100" s="5"/>
      <c r="I100" s="5"/>
      <c r="J100" s="5"/>
      <c r="K100" s="5"/>
      <c r="L100" s="5"/>
    </row>
    <row r="101" spans="8:12" x14ac:dyDescent="0.25">
      <c r="H101" s="5"/>
      <c r="I101" s="5"/>
      <c r="J101" s="5"/>
      <c r="K101" s="5"/>
      <c r="L101" s="5"/>
    </row>
    <row r="102" spans="8:12" x14ac:dyDescent="0.25">
      <c r="H102" s="5"/>
      <c r="I102" s="5"/>
      <c r="J102" s="5"/>
      <c r="K102" s="5"/>
      <c r="L102" s="5"/>
    </row>
    <row r="103" spans="8:12" x14ac:dyDescent="0.25">
      <c r="H103" s="5"/>
      <c r="I103" s="5"/>
      <c r="J103" s="5"/>
      <c r="K103" s="5"/>
      <c r="L103" s="5"/>
    </row>
    <row r="104" spans="8:12" x14ac:dyDescent="0.25">
      <c r="H104" s="5"/>
      <c r="I104" s="5"/>
      <c r="J104" s="5"/>
      <c r="K104" s="5"/>
      <c r="L104" s="5"/>
    </row>
    <row r="105" spans="8:12" x14ac:dyDescent="0.25">
      <c r="H105" s="5"/>
      <c r="I105" s="5"/>
      <c r="J105" s="5"/>
      <c r="K105" s="5"/>
      <c r="L105" s="5"/>
    </row>
    <row r="106" spans="8:12" x14ac:dyDescent="0.25">
      <c r="H106" s="5"/>
      <c r="I106" s="5"/>
      <c r="J106" s="5"/>
      <c r="K106" s="5"/>
      <c r="L106" s="5"/>
    </row>
    <row r="107" spans="8:12" x14ac:dyDescent="0.25">
      <c r="H107" s="5"/>
      <c r="I107" s="5"/>
      <c r="J107" s="5"/>
      <c r="K107" s="5"/>
      <c r="L107" s="5"/>
    </row>
    <row r="108" spans="8:12" x14ac:dyDescent="0.25">
      <c r="H108" s="5"/>
      <c r="I108" s="5"/>
      <c r="J108" s="5"/>
      <c r="K108" s="5"/>
      <c r="L108" s="5"/>
    </row>
    <row r="109" spans="8:12" x14ac:dyDescent="0.25">
      <c r="H109" s="5"/>
      <c r="I109" s="5"/>
      <c r="J109" s="5"/>
      <c r="K109" s="5"/>
      <c r="L109" s="5"/>
    </row>
    <row r="110" spans="8:12" x14ac:dyDescent="0.25">
      <c r="H110" s="5"/>
      <c r="I110" s="5"/>
      <c r="J110" s="5"/>
      <c r="K110" s="5"/>
      <c r="L110" s="5"/>
    </row>
    <row r="111" spans="8:12" x14ac:dyDescent="0.25">
      <c r="H111" s="5"/>
      <c r="I111" s="5"/>
      <c r="J111" s="5"/>
      <c r="K111" s="5"/>
      <c r="L111" s="5"/>
    </row>
    <row r="112" spans="8:12" x14ac:dyDescent="0.25">
      <c r="H112" s="5"/>
      <c r="I112" s="5"/>
      <c r="J112" s="5"/>
      <c r="K112" s="5"/>
      <c r="L112" s="5"/>
    </row>
    <row r="113" spans="8:12" x14ac:dyDescent="0.25">
      <c r="H113" s="5"/>
      <c r="I113" s="5"/>
      <c r="J113" s="5"/>
      <c r="K113" s="5"/>
      <c r="L113" s="5"/>
    </row>
    <row r="114" spans="8:12" x14ac:dyDescent="0.25">
      <c r="H114" s="5"/>
      <c r="I114" s="5"/>
      <c r="J114" s="5"/>
      <c r="K114" s="5"/>
      <c r="L114" s="5"/>
    </row>
    <row r="115" spans="8:12" x14ac:dyDescent="0.25">
      <c r="H115" s="5"/>
      <c r="I115" s="5"/>
      <c r="J115" s="5"/>
      <c r="K115" s="5"/>
      <c r="L115" s="5"/>
    </row>
    <row r="116" spans="8:12" x14ac:dyDescent="0.25">
      <c r="H116" s="5"/>
      <c r="I116" s="5"/>
      <c r="J116" s="5"/>
      <c r="K116" s="5"/>
      <c r="L116" s="5"/>
    </row>
    <row r="117" spans="8:12" x14ac:dyDescent="0.25">
      <c r="H117" s="5"/>
      <c r="I117" s="5"/>
      <c r="J117" s="5"/>
      <c r="K117" s="5"/>
      <c r="L117" s="5"/>
    </row>
    <row r="118" spans="8:12" x14ac:dyDescent="0.25">
      <c r="H118" s="5"/>
      <c r="I118" s="5"/>
      <c r="J118" s="5"/>
      <c r="K118" s="5"/>
      <c r="L118" s="5"/>
    </row>
    <row r="119" spans="8:12" x14ac:dyDescent="0.25">
      <c r="H119" s="5"/>
      <c r="I119" s="5"/>
      <c r="J119" s="5"/>
      <c r="K119" s="5"/>
      <c r="L119" s="5"/>
    </row>
    <row r="120" spans="8:12" x14ac:dyDescent="0.25">
      <c r="H120" s="5"/>
      <c r="I120" s="5"/>
      <c r="J120" s="5"/>
      <c r="K120" s="5"/>
      <c r="L120" s="5"/>
    </row>
    <row r="121" spans="8:12" x14ac:dyDescent="0.25">
      <c r="H121" s="5"/>
      <c r="I121" s="5"/>
      <c r="J121" s="5"/>
      <c r="K121" s="5"/>
      <c r="L121" s="5"/>
    </row>
    <row r="122" spans="8:12" x14ac:dyDescent="0.25">
      <c r="H122" s="5"/>
      <c r="I122" s="5"/>
      <c r="J122" s="5"/>
      <c r="K122" s="5"/>
      <c r="L122" s="5"/>
    </row>
    <row r="123" spans="8:12" x14ac:dyDescent="0.25">
      <c r="H123" s="5"/>
      <c r="I123" s="5"/>
      <c r="J123" s="5"/>
      <c r="K123" s="5"/>
      <c r="L123" s="5"/>
    </row>
  </sheetData>
  <mergeCells count="20">
    <mergeCell ref="H2:L2"/>
    <mergeCell ref="R2:R3"/>
    <mergeCell ref="R4:R38"/>
    <mergeCell ref="M2:N2"/>
    <mergeCell ref="H3:L3"/>
    <mergeCell ref="M16:M18"/>
    <mergeCell ref="N16:N18"/>
    <mergeCell ref="O4:O41"/>
    <mergeCell ref="B1:S1"/>
    <mergeCell ref="C2:C3"/>
    <mergeCell ref="P2:Q2"/>
    <mergeCell ref="S2:S3"/>
    <mergeCell ref="S16:S18"/>
    <mergeCell ref="L16:L18"/>
    <mergeCell ref="K16:K18"/>
    <mergeCell ref="O2:O3"/>
    <mergeCell ref="D2:D3"/>
    <mergeCell ref="J16:J18"/>
    <mergeCell ref="I16:I18"/>
    <mergeCell ref="H16:H18"/>
  </mergeCells>
  <phoneticPr fontId="6" type="noConversion"/>
  <pageMargins left="0.7" right="0.7" top="0.75" bottom="0.75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AA47EE-44C7-49D0-A0F9-2723F5834966}">
  <dimension ref="B1:Q40"/>
  <sheetViews>
    <sheetView topLeftCell="E1" zoomScale="89" zoomScaleNormal="89" workbookViewId="0">
      <selection activeCell="H38" sqref="H38"/>
    </sheetView>
  </sheetViews>
  <sheetFormatPr defaultRowHeight="15" x14ac:dyDescent="0.25"/>
  <cols>
    <col min="2" max="2" width="25.28515625" customWidth="1"/>
    <col min="3" max="3" width="24.140625" customWidth="1"/>
    <col min="4" max="4" width="22.28515625" customWidth="1"/>
    <col min="5" max="5" width="16.7109375" customWidth="1"/>
    <col min="6" max="6" width="27.7109375" customWidth="1"/>
    <col min="7" max="7" width="28.140625" customWidth="1"/>
    <col min="8" max="8" width="26.28515625" customWidth="1"/>
    <col min="9" max="9" width="29.85546875" customWidth="1"/>
    <col min="10" max="10" width="23" customWidth="1"/>
    <col min="11" max="11" width="25" customWidth="1"/>
    <col min="12" max="12" width="9.7109375" customWidth="1"/>
    <col min="13" max="13" width="21.7109375" customWidth="1"/>
    <col min="14" max="14" width="21.28515625" style="208" customWidth="1"/>
    <col min="15" max="16" width="15.42578125" style="208" customWidth="1"/>
    <col min="17" max="17" width="21.28515625" customWidth="1"/>
  </cols>
  <sheetData>
    <row r="1" spans="2:17" ht="15.75" thickBot="1" x14ac:dyDescent="0.3"/>
    <row r="2" spans="2:17" ht="15.75" thickBot="1" x14ac:dyDescent="0.3">
      <c r="B2" s="285" t="s">
        <v>22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86"/>
    </row>
    <row r="3" spans="2:17" ht="45.75" thickBot="1" x14ac:dyDescent="0.3">
      <c r="B3" s="12" t="s">
        <v>39</v>
      </c>
      <c r="C3" s="250" t="s">
        <v>1</v>
      </c>
      <c r="D3" s="263" t="s">
        <v>189</v>
      </c>
      <c r="E3" s="12" t="s">
        <v>0</v>
      </c>
      <c r="F3" s="12" t="s">
        <v>31</v>
      </c>
      <c r="G3" s="20" t="s">
        <v>41</v>
      </c>
      <c r="H3" s="278" t="s">
        <v>21</v>
      </c>
      <c r="I3" s="279"/>
      <c r="J3" s="279"/>
      <c r="K3" s="276" t="s">
        <v>125</v>
      </c>
      <c r="L3" s="282"/>
      <c r="M3" s="263" t="s">
        <v>190</v>
      </c>
      <c r="N3" s="287" t="s">
        <v>126</v>
      </c>
      <c r="O3" s="288"/>
      <c r="P3" s="263" t="s">
        <v>234</v>
      </c>
      <c r="Q3" s="283" t="s">
        <v>3</v>
      </c>
    </row>
    <row r="4" spans="2:17" ht="22.9" customHeight="1" thickBot="1" x14ac:dyDescent="0.3">
      <c r="B4" s="21" t="s">
        <v>33</v>
      </c>
      <c r="C4" s="251"/>
      <c r="D4" s="265"/>
      <c r="E4" s="21" t="s">
        <v>30</v>
      </c>
      <c r="F4" s="21" t="s">
        <v>32</v>
      </c>
      <c r="G4" s="21" t="s">
        <v>30</v>
      </c>
      <c r="H4" s="280"/>
      <c r="I4" s="281"/>
      <c r="J4" s="281"/>
      <c r="K4" s="27" t="s">
        <v>124</v>
      </c>
      <c r="L4" s="27" t="s">
        <v>30</v>
      </c>
      <c r="M4" s="265"/>
      <c r="N4" s="209" t="s">
        <v>124</v>
      </c>
      <c r="O4" s="209" t="s">
        <v>30</v>
      </c>
      <c r="P4" s="265"/>
      <c r="Q4" s="284"/>
    </row>
    <row r="5" spans="2:17" ht="45" x14ac:dyDescent="0.25">
      <c r="B5" s="145" t="s">
        <v>123</v>
      </c>
      <c r="C5" s="147" t="s">
        <v>230</v>
      </c>
      <c r="D5" s="173" t="s">
        <v>206</v>
      </c>
      <c r="E5" s="152">
        <v>238.9</v>
      </c>
      <c r="F5" s="149" t="s">
        <v>193</v>
      </c>
      <c r="G5" s="156">
        <f>E5*0.1</f>
        <v>23.89</v>
      </c>
      <c r="H5" s="153" t="s">
        <v>64</v>
      </c>
      <c r="I5" s="25"/>
      <c r="J5" s="29"/>
      <c r="K5" s="158">
        <v>0</v>
      </c>
      <c r="L5" s="159">
        <v>0</v>
      </c>
      <c r="M5" s="244" t="s">
        <v>208</v>
      </c>
      <c r="N5" s="210" t="s">
        <v>127</v>
      </c>
      <c r="O5" s="211">
        <f>2.3*2.2</f>
        <v>5.0599999999999996</v>
      </c>
      <c r="P5" s="289" t="s">
        <v>200</v>
      </c>
      <c r="Q5" s="217"/>
    </row>
    <row r="6" spans="2:17" x14ac:dyDescent="0.25">
      <c r="B6" s="59" t="s">
        <v>128</v>
      </c>
      <c r="C6" s="55" t="s">
        <v>5</v>
      </c>
      <c r="D6" s="80" t="s">
        <v>196</v>
      </c>
      <c r="E6" s="85">
        <v>21.4</v>
      </c>
      <c r="F6" s="78" t="s">
        <v>44</v>
      </c>
      <c r="G6" s="86">
        <v>12</v>
      </c>
      <c r="H6" s="99" t="s">
        <v>129</v>
      </c>
      <c r="I6" s="22"/>
      <c r="J6" s="111"/>
      <c r="K6" s="125">
        <v>0</v>
      </c>
      <c r="L6" s="126">
        <v>0</v>
      </c>
      <c r="M6" s="245"/>
      <c r="N6" s="212">
        <v>0</v>
      </c>
      <c r="O6" s="213">
        <v>0</v>
      </c>
      <c r="P6" s="290"/>
      <c r="Q6" s="218"/>
    </row>
    <row r="7" spans="2:17" x14ac:dyDescent="0.25">
      <c r="B7" s="59" t="s">
        <v>130</v>
      </c>
      <c r="C7" s="55" t="s">
        <v>54</v>
      </c>
      <c r="D7" s="80" t="s">
        <v>206</v>
      </c>
      <c r="E7" s="86">
        <v>40.299999999999997</v>
      </c>
      <c r="F7" s="78" t="s">
        <v>131</v>
      </c>
      <c r="G7" s="86">
        <v>0</v>
      </c>
      <c r="H7" s="99"/>
      <c r="I7" s="24"/>
      <c r="J7" s="113"/>
      <c r="K7" s="125" t="s">
        <v>135</v>
      </c>
      <c r="L7" s="126">
        <f>2*0.35</f>
        <v>0.7</v>
      </c>
      <c r="M7" s="245"/>
      <c r="N7" s="212" t="s">
        <v>118</v>
      </c>
      <c r="O7" s="213">
        <f>1.15*2.1</f>
        <v>2.415</v>
      </c>
      <c r="P7" s="290"/>
      <c r="Q7" s="219" t="s">
        <v>28</v>
      </c>
    </row>
    <row r="8" spans="2:17" ht="45" x14ac:dyDescent="0.25">
      <c r="B8" s="61" t="s">
        <v>132</v>
      </c>
      <c r="C8" s="69" t="s">
        <v>229</v>
      </c>
      <c r="D8" s="169" t="s">
        <v>216</v>
      </c>
      <c r="E8" s="86">
        <f>260.1*0.2</f>
        <v>52.02000000000001</v>
      </c>
      <c r="F8" s="79" t="s">
        <v>56</v>
      </c>
      <c r="G8" s="87" t="s">
        <v>210</v>
      </c>
      <c r="H8" s="154" t="s">
        <v>64</v>
      </c>
      <c r="I8" s="24"/>
      <c r="J8" s="112"/>
      <c r="K8" s="125">
        <v>0</v>
      </c>
      <c r="L8" s="126">
        <v>0</v>
      </c>
      <c r="M8" s="245"/>
      <c r="N8" s="212">
        <v>0</v>
      </c>
      <c r="O8" s="213">
        <v>0</v>
      </c>
      <c r="P8" s="290"/>
      <c r="Q8" s="218"/>
    </row>
    <row r="9" spans="2:17" ht="45" x14ac:dyDescent="0.25">
      <c r="B9" s="146" t="s">
        <v>132</v>
      </c>
      <c r="C9" s="70" t="s">
        <v>228</v>
      </c>
      <c r="D9" s="80" t="s">
        <v>206</v>
      </c>
      <c r="E9" s="86">
        <f>260.1*0.8</f>
        <v>208.08000000000004</v>
      </c>
      <c r="F9" s="79" t="s">
        <v>193</v>
      </c>
      <c r="G9" s="87" t="s">
        <v>210</v>
      </c>
      <c r="H9" s="157" t="s">
        <v>194</v>
      </c>
      <c r="I9" s="24"/>
      <c r="J9" s="112"/>
      <c r="K9" s="125"/>
      <c r="L9" s="126"/>
      <c r="M9" s="245"/>
      <c r="N9" s="212"/>
      <c r="O9" s="213"/>
      <c r="P9" s="290"/>
      <c r="Q9" s="218"/>
    </row>
    <row r="10" spans="2:17" ht="45" x14ac:dyDescent="0.25">
      <c r="B10" s="59" t="s">
        <v>133</v>
      </c>
      <c r="C10" s="69" t="s">
        <v>229</v>
      </c>
      <c r="D10" s="169" t="s">
        <v>216</v>
      </c>
      <c r="E10" s="86">
        <f>328.2*0.2</f>
        <v>65.64</v>
      </c>
      <c r="F10" s="79" t="s">
        <v>56</v>
      </c>
      <c r="G10" s="87" t="s">
        <v>210</v>
      </c>
      <c r="H10" s="154" t="s">
        <v>64</v>
      </c>
      <c r="I10" s="24"/>
      <c r="J10" s="113"/>
      <c r="K10" s="125">
        <v>0</v>
      </c>
      <c r="L10" s="126">
        <v>0</v>
      </c>
      <c r="M10" s="245"/>
      <c r="N10" s="212">
        <v>0</v>
      </c>
      <c r="O10" s="213">
        <v>0</v>
      </c>
      <c r="P10" s="290"/>
      <c r="Q10" s="218"/>
    </row>
    <row r="11" spans="2:17" ht="45" x14ac:dyDescent="0.25">
      <c r="B11" s="146" t="s">
        <v>133</v>
      </c>
      <c r="C11" s="70" t="s">
        <v>228</v>
      </c>
      <c r="D11" s="80" t="s">
        <v>206</v>
      </c>
      <c r="E11" s="86">
        <f>328.2*0.8</f>
        <v>262.56</v>
      </c>
      <c r="F11" s="79" t="s">
        <v>193</v>
      </c>
      <c r="G11" s="87" t="s">
        <v>210</v>
      </c>
      <c r="H11" s="157" t="s">
        <v>194</v>
      </c>
      <c r="I11" s="24"/>
      <c r="J11" s="113"/>
      <c r="K11" s="125">
        <v>0</v>
      </c>
      <c r="L11" s="126">
        <v>0</v>
      </c>
      <c r="M11" s="245"/>
      <c r="N11" s="212">
        <v>0</v>
      </c>
      <c r="O11" s="213">
        <v>0</v>
      </c>
      <c r="P11" s="290"/>
      <c r="Q11" s="218"/>
    </row>
    <row r="12" spans="2:17" x14ac:dyDescent="0.25">
      <c r="B12" s="59" t="s">
        <v>134</v>
      </c>
      <c r="C12" s="55" t="s">
        <v>60</v>
      </c>
      <c r="D12" s="80" t="s">
        <v>206</v>
      </c>
      <c r="E12" s="86">
        <v>28</v>
      </c>
      <c r="F12" s="78" t="s">
        <v>131</v>
      </c>
      <c r="G12" s="87" t="s">
        <v>210</v>
      </c>
      <c r="H12" s="99"/>
      <c r="I12" s="24"/>
      <c r="J12" s="113"/>
      <c r="K12" s="125" t="s">
        <v>136</v>
      </c>
      <c r="L12" s="126">
        <f>0.85*1.45</f>
        <v>1.2324999999999999</v>
      </c>
      <c r="M12" s="245"/>
      <c r="N12" s="212" t="s">
        <v>119</v>
      </c>
      <c r="O12" s="213">
        <f>2*1.15*2.1</f>
        <v>4.83</v>
      </c>
      <c r="P12" s="290"/>
      <c r="Q12" s="218"/>
    </row>
    <row r="13" spans="2:17" ht="45" x14ac:dyDescent="0.25">
      <c r="B13" s="59" t="s">
        <v>137</v>
      </c>
      <c r="C13" s="69" t="s">
        <v>226</v>
      </c>
      <c r="D13" s="169" t="s">
        <v>216</v>
      </c>
      <c r="E13" s="86">
        <f>320.8*0.2</f>
        <v>64.160000000000011</v>
      </c>
      <c r="F13" s="79" t="s">
        <v>195</v>
      </c>
      <c r="G13" s="87" t="s">
        <v>210</v>
      </c>
      <c r="H13" s="154" t="s">
        <v>64</v>
      </c>
      <c r="I13" s="24"/>
      <c r="J13" s="113"/>
      <c r="K13" s="160">
        <v>0</v>
      </c>
      <c r="L13" s="126">
        <v>0</v>
      </c>
      <c r="M13" s="245"/>
      <c r="N13" s="212">
        <v>0</v>
      </c>
      <c r="O13" s="213">
        <v>0</v>
      </c>
      <c r="P13" s="290"/>
      <c r="Q13" s="218"/>
    </row>
    <row r="14" spans="2:17" ht="60" x14ac:dyDescent="0.25">
      <c r="B14" s="146" t="s">
        <v>137</v>
      </c>
      <c r="C14" s="70" t="s">
        <v>227</v>
      </c>
      <c r="D14" s="80" t="s">
        <v>206</v>
      </c>
      <c r="E14" s="86">
        <f>320.8*0.8</f>
        <v>256.64000000000004</v>
      </c>
      <c r="F14" s="79" t="s">
        <v>193</v>
      </c>
      <c r="G14" s="87" t="s">
        <v>210</v>
      </c>
      <c r="H14" s="157" t="s">
        <v>194</v>
      </c>
      <c r="I14" s="24"/>
      <c r="J14" s="113"/>
      <c r="K14" s="160">
        <v>0</v>
      </c>
      <c r="L14" s="126">
        <v>0</v>
      </c>
      <c r="M14" s="245"/>
      <c r="N14" s="212">
        <v>0</v>
      </c>
      <c r="O14" s="213">
        <v>0</v>
      </c>
      <c r="P14" s="290"/>
      <c r="Q14" s="218"/>
    </row>
    <row r="15" spans="2:17" x14ac:dyDescent="0.25">
      <c r="B15" s="59" t="s">
        <v>138</v>
      </c>
      <c r="C15" s="55" t="s">
        <v>233</v>
      </c>
      <c r="D15" s="80" t="s">
        <v>237</v>
      </c>
      <c r="E15" s="86">
        <v>71.3</v>
      </c>
      <c r="F15" s="78" t="s">
        <v>148</v>
      </c>
      <c r="G15" s="86">
        <f>4.82*0.6</f>
        <v>2.8919999999999999</v>
      </c>
      <c r="H15" s="99" t="s">
        <v>149</v>
      </c>
      <c r="I15" s="24" t="s">
        <v>174</v>
      </c>
      <c r="J15" s="111"/>
      <c r="K15" s="160">
        <v>0</v>
      </c>
      <c r="L15" s="126">
        <v>0</v>
      </c>
      <c r="M15" s="245"/>
      <c r="N15" s="212" t="s">
        <v>154</v>
      </c>
      <c r="O15" s="213">
        <f>1.53*2.8</f>
        <v>4.2839999999999998</v>
      </c>
      <c r="P15" s="290"/>
      <c r="Q15" s="218"/>
    </row>
    <row r="16" spans="2:17" x14ac:dyDescent="0.25">
      <c r="B16" s="59" t="s">
        <v>139</v>
      </c>
      <c r="C16" s="55" t="s">
        <v>233</v>
      </c>
      <c r="D16" s="80" t="s">
        <v>237</v>
      </c>
      <c r="E16" s="86">
        <v>70</v>
      </c>
      <c r="F16" s="78" t="s">
        <v>148</v>
      </c>
      <c r="G16" s="86">
        <f>5.15*0.8</f>
        <v>4.12</v>
      </c>
      <c r="H16" s="99" t="s">
        <v>150</v>
      </c>
      <c r="I16" s="24" t="s">
        <v>173</v>
      </c>
      <c r="J16" s="113"/>
      <c r="K16" s="160">
        <v>0</v>
      </c>
      <c r="L16" s="126">
        <v>0</v>
      </c>
      <c r="M16" s="245"/>
      <c r="N16" s="212" t="s">
        <v>154</v>
      </c>
      <c r="O16" s="213">
        <f>1.53*2.8</f>
        <v>4.2839999999999998</v>
      </c>
      <c r="P16" s="290"/>
      <c r="Q16" s="218"/>
    </row>
    <row r="17" spans="2:17" x14ac:dyDescent="0.25">
      <c r="B17" s="59" t="s">
        <v>140</v>
      </c>
      <c r="C17" s="55" t="s">
        <v>151</v>
      </c>
      <c r="D17" s="80" t="s">
        <v>237</v>
      </c>
      <c r="E17" s="86">
        <v>9.6999999999999993</v>
      </c>
      <c r="F17" s="78" t="s">
        <v>148</v>
      </c>
      <c r="G17" s="86">
        <f>1.8*0.4</f>
        <v>0.72000000000000008</v>
      </c>
      <c r="H17" s="99" t="s">
        <v>175</v>
      </c>
      <c r="I17" s="24"/>
      <c r="J17" s="113"/>
      <c r="K17" s="160">
        <v>0</v>
      </c>
      <c r="L17" s="126">
        <v>0</v>
      </c>
      <c r="M17" s="245"/>
      <c r="N17" s="212">
        <v>0</v>
      </c>
      <c r="O17" s="213">
        <v>0</v>
      </c>
      <c r="P17" s="290"/>
      <c r="Q17" s="218"/>
    </row>
    <row r="18" spans="2:17" x14ac:dyDescent="0.25">
      <c r="B18" s="59" t="s">
        <v>141</v>
      </c>
      <c r="C18" s="55" t="s">
        <v>4</v>
      </c>
      <c r="D18" s="80" t="s">
        <v>237</v>
      </c>
      <c r="E18" s="86">
        <v>5.3</v>
      </c>
      <c r="F18" s="78" t="s">
        <v>44</v>
      </c>
      <c r="G18" s="86">
        <v>0</v>
      </c>
      <c r="H18" s="99" t="s">
        <v>152</v>
      </c>
      <c r="I18" s="24" t="s">
        <v>52</v>
      </c>
      <c r="J18" s="113"/>
      <c r="K18" s="160">
        <v>0</v>
      </c>
      <c r="L18" s="126">
        <v>0</v>
      </c>
      <c r="M18" s="245"/>
      <c r="N18" s="212">
        <v>0</v>
      </c>
      <c r="O18" s="213">
        <v>0</v>
      </c>
      <c r="P18" s="290"/>
      <c r="Q18" s="218" t="s">
        <v>153</v>
      </c>
    </row>
    <row r="19" spans="2:17" x14ac:dyDescent="0.25">
      <c r="B19" s="59" t="s">
        <v>142</v>
      </c>
      <c r="C19" s="55" t="s">
        <v>2</v>
      </c>
      <c r="D19" s="80" t="s">
        <v>237</v>
      </c>
      <c r="E19" s="86">
        <v>7.7</v>
      </c>
      <c r="F19" s="78" t="s">
        <v>131</v>
      </c>
      <c r="G19" s="86">
        <v>0</v>
      </c>
      <c r="H19" s="99"/>
      <c r="I19" s="24"/>
      <c r="J19" s="113"/>
      <c r="K19" s="160">
        <v>0</v>
      </c>
      <c r="L19" s="126">
        <v>0</v>
      </c>
      <c r="M19" s="245"/>
      <c r="N19" s="212" t="s">
        <v>155</v>
      </c>
      <c r="O19" s="213">
        <f>1.15*2.8</f>
        <v>3.2199999999999998</v>
      </c>
      <c r="P19" s="290"/>
      <c r="Q19" s="218"/>
    </row>
    <row r="20" spans="2:17" x14ac:dyDescent="0.25">
      <c r="B20" s="59" t="s">
        <v>143</v>
      </c>
      <c r="C20" s="55" t="s">
        <v>4</v>
      </c>
      <c r="D20" s="80" t="s">
        <v>237</v>
      </c>
      <c r="E20" s="86">
        <v>17.7</v>
      </c>
      <c r="F20" s="78" t="s">
        <v>44</v>
      </c>
      <c r="G20" s="86">
        <v>0</v>
      </c>
      <c r="H20" s="99" t="s">
        <v>156</v>
      </c>
      <c r="I20" s="24" t="s">
        <v>157</v>
      </c>
      <c r="J20" s="113"/>
      <c r="K20" s="160">
        <v>0</v>
      </c>
      <c r="L20" s="126">
        <v>0</v>
      </c>
      <c r="M20" s="245"/>
      <c r="N20" s="214">
        <v>0</v>
      </c>
      <c r="O20" s="213">
        <v>0</v>
      </c>
      <c r="P20" s="290"/>
      <c r="Q20" s="218"/>
    </row>
    <row r="21" spans="2:17" x14ac:dyDescent="0.25">
      <c r="B21" s="59" t="s">
        <v>144</v>
      </c>
      <c r="C21" s="55" t="s">
        <v>4</v>
      </c>
      <c r="D21" s="80" t="s">
        <v>237</v>
      </c>
      <c r="E21" s="86">
        <v>11.3</v>
      </c>
      <c r="F21" s="78" t="s">
        <v>44</v>
      </c>
      <c r="G21" s="85">
        <v>0</v>
      </c>
      <c r="H21" s="99" t="s">
        <v>152</v>
      </c>
      <c r="I21" s="24" t="s">
        <v>158</v>
      </c>
      <c r="J21" s="113" t="s">
        <v>68</v>
      </c>
      <c r="K21" s="160">
        <v>0</v>
      </c>
      <c r="L21" s="126">
        <v>0</v>
      </c>
      <c r="M21" s="245"/>
      <c r="N21" s="212">
        <v>0</v>
      </c>
      <c r="O21" s="213">
        <v>0</v>
      </c>
      <c r="P21" s="290"/>
      <c r="Q21" s="218"/>
    </row>
    <row r="22" spans="2:17" x14ac:dyDescent="0.25">
      <c r="B22" s="59" t="s">
        <v>145</v>
      </c>
      <c r="C22" s="55" t="s">
        <v>159</v>
      </c>
      <c r="D22" s="80" t="s">
        <v>237</v>
      </c>
      <c r="E22" s="86">
        <v>128.1</v>
      </c>
      <c r="F22" s="78" t="s">
        <v>148</v>
      </c>
      <c r="G22" s="85">
        <v>0</v>
      </c>
      <c r="H22" s="99" t="s">
        <v>172</v>
      </c>
      <c r="I22" s="24" t="s">
        <v>171</v>
      </c>
      <c r="J22" s="111"/>
      <c r="K22" s="160">
        <v>0</v>
      </c>
      <c r="L22" s="126">
        <v>0</v>
      </c>
      <c r="M22" s="245"/>
      <c r="N22" s="212" t="s">
        <v>160</v>
      </c>
      <c r="O22" s="213">
        <f>2.3*2.8</f>
        <v>6.4399999999999995</v>
      </c>
      <c r="P22" s="290"/>
      <c r="Q22" s="218"/>
    </row>
    <row r="23" spans="2:17" x14ac:dyDescent="0.25">
      <c r="B23" s="59" t="s">
        <v>146</v>
      </c>
      <c r="C23" s="55" t="s">
        <v>161</v>
      </c>
      <c r="D23" s="80" t="s">
        <v>237</v>
      </c>
      <c r="E23" s="86">
        <v>31.6</v>
      </c>
      <c r="F23" s="78" t="s">
        <v>131</v>
      </c>
      <c r="G23" s="86">
        <v>0</v>
      </c>
      <c r="H23" s="155"/>
      <c r="I23" s="22"/>
      <c r="J23" s="111"/>
      <c r="K23" s="160">
        <v>0</v>
      </c>
      <c r="L23" s="126">
        <v>0</v>
      </c>
      <c r="M23" s="245"/>
      <c r="N23" s="212" t="s">
        <v>162</v>
      </c>
      <c r="O23" s="213">
        <f>2.72*2.8</f>
        <v>7.6159999999999997</v>
      </c>
      <c r="P23" s="290"/>
      <c r="Q23" s="218"/>
    </row>
    <row r="24" spans="2:17" x14ac:dyDescent="0.25">
      <c r="B24" s="59" t="s">
        <v>147</v>
      </c>
      <c r="C24" s="55" t="s">
        <v>2</v>
      </c>
      <c r="D24" s="80" t="s">
        <v>237</v>
      </c>
      <c r="E24" s="86">
        <v>42.8</v>
      </c>
      <c r="F24" s="78" t="s">
        <v>148</v>
      </c>
      <c r="G24" s="85">
        <v>0</v>
      </c>
      <c r="H24" s="66"/>
      <c r="I24" s="6"/>
      <c r="J24" s="54"/>
      <c r="K24" s="160">
        <v>0</v>
      </c>
      <c r="L24" s="126">
        <v>0</v>
      </c>
      <c r="M24" s="277"/>
      <c r="N24" s="212" t="s">
        <v>163</v>
      </c>
      <c r="O24" s="213">
        <v>37.57</v>
      </c>
      <c r="P24" s="291"/>
      <c r="Q24" s="218" t="s">
        <v>164</v>
      </c>
    </row>
    <row r="25" spans="2:17" x14ac:dyDescent="0.25">
      <c r="B25" s="59"/>
      <c r="C25" s="55"/>
      <c r="D25" s="80"/>
      <c r="E25" s="86"/>
      <c r="F25" s="78"/>
      <c r="G25" s="86"/>
      <c r="H25" s="99"/>
      <c r="I25" s="24"/>
      <c r="J25" s="113"/>
      <c r="K25" s="125"/>
      <c r="L25" s="126">
        <f>SUM(L5:L24)</f>
        <v>1.9324999999999999</v>
      </c>
      <c r="M25" s="119"/>
      <c r="N25" s="212"/>
      <c r="O25" s="213">
        <f>SUM(O5:O24)</f>
        <v>75.718999999999994</v>
      </c>
      <c r="P25" s="213"/>
      <c r="Q25" s="218"/>
    </row>
    <row r="26" spans="2:17" ht="15.75" thickBot="1" x14ac:dyDescent="0.3">
      <c r="B26" s="48"/>
      <c r="C26" s="148"/>
      <c r="D26" s="150"/>
      <c r="E26" s="56"/>
      <c r="F26" s="50"/>
      <c r="G26" s="56"/>
      <c r="H26" s="151"/>
      <c r="I26" s="9"/>
      <c r="J26" s="51"/>
      <c r="K26" s="8"/>
      <c r="L26" s="10"/>
      <c r="M26" s="50"/>
      <c r="N26" s="215"/>
      <c r="O26" s="216"/>
      <c r="P26" s="216"/>
      <c r="Q26" s="162"/>
    </row>
    <row r="28" spans="2:17" ht="45" x14ac:dyDescent="0.25">
      <c r="C28" s="174" t="s">
        <v>206</v>
      </c>
      <c r="D28" s="175" t="s">
        <v>207</v>
      </c>
    </row>
    <row r="29" spans="2:17" ht="15.75" thickBot="1" x14ac:dyDescent="0.3"/>
    <row r="30" spans="2:17" ht="75.75" thickBot="1" x14ac:dyDescent="0.3">
      <c r="C30" s="205" t="s">
        <v>37</v>
      </c>
      <c r="D30" s="205" t="s">
        <v>212</v>
      </c>
      <c r="E30" s="197" t="s">
        <v>30</v>
      </c>
      <c r="F30" s="20" t="s">
        <v>211</v>
      </c>
    </row>
    <row r="31" spans="2:17" x14ac:dyDescent="0.25">
      <c r="C31" s="17" t="s">
        <v>44</v>
      </c>
      <c r="D31" s="220" t="s">
        <v>196</v>
      </c>
      <c r="E31" s="206">
        <f>E6-G6</f>
        <v>9.3999999999999986</v>
      </c>
      <c r="F31" s="57">
        <f>E31*1</f>
        <v>9.3999999999999986</v>
      </c>
    </row>
    <row r="32" spans="2:17" x14ac:dyDescent="0.25">
      <c r="C32" s="17" t="s">
        <v>44</v>
      </c>
      <c r="D32" s="220" t="s">
        <v>237</v>
      </c>
      <c r="E32" s="206">
        <f>E18+E20+E21-G6-G18-G20-G21</f>
        <v>22.299999999999997</v>
      </c>
      <c r="F32" s="57">
        <f>E32*6</f>
        <v>133.79999999999998</v>
      </c>
    </row>
    <row r="33" spans="3:7" ht="60" x14ac:dyDescent="0.25">
      <c r="C33" s="36" t="s">
        <v>232</v>
      </c>
      <c r="D33" s="221" t="s">
        <v>206</v>
      </c>
      <c r="E33" s="206">
        <f>E5-G5+E9+E11+E14</f>
        <v>942.29000000000019</v>
      </c>
      <c r="F33" s="55">
        <f>E33*25</f>
        <v>23557.250000000004</v>
      </c>
    </row>
    <row r="34" spans="3:7" ht="60" x14ac:dyDescent="0.25">
      <c r="C34" s="36" t="s">
        <v>231</v>
      </c>
      <c r="D34" s="169" t="s">
        <v>216</v>
      </c>
      <c r="E34" s="206">
        <f>E8+E10+E13</f>
        <v>181.82000000000002</v>
      </c>
      <c r="F34" s="55">
        <f>E34*4</f>
        <v>727.28000000000009</v>
      </c>
    </row>
    <row r="35" spans="3:7" x14ac:dyDescent="0.25">
      <c r="C35" s="26" t="s">
        <v>131</v>
      </c>
      <c r="D35" s="221" t="s">
        <v>206</v>
      </c>
      <c r="E35" s="207">
        <f>E7+E12</f>
        <v>68.3</v>
      </c>
      <c r="F35" s="55">
        <f>E35*25</f>
        <v>1707.5</v>
      </c>
    </row>
    <row r="36" spans="3:7" x14ac:dyDescent="0.25">
      <c r="C36" s="26" t="s">
        <v>131</v>
      </c>
      <c r="D36" s="80" t="s">
        <v>237</v>
      </c>
      <c r="E36" s="207">
        <f>E19-G19+E23-G23</f>
        <v>39.300000000000004</v>
      </c>
      <c r="F36" s="55">
        <f>E36*6</f>
        <v>235.8</v>
      </c>
    </row>
    <row r="37" spans="3:7" x14ac:dyDescent="0.25">
      <c r="C37" s="26" t="s">
        <v>148</v>
      </c>
      <c r="D37" s="80" t="s">
        <v>237</v>
      </c>
      <c r="E37" s="207">
        <f>E15+E16+E17+E22+E24-G15-G16-G17-G22-G24</f>
        <v>314.16800000000001</v>
      </c>
      <c r="F37" s="55">
        <f>E37*6</f>
        <v>1885.008</v>
      </c>
    </row>
    <row r="38" spans="3:7" ht="30" x14ac:dyDescent="0.25">
      <c r="C38" s="228" t="s">
        <v>126</v>
      </c>
      <c r="D38" s="229" t="s">
        <v>206</v>
      </c>
      <c r="E38" s="213">
        <f>O25</f>
        <v>75.718999999999994</v>
      </c>
      <c r="F38" s="230"/>
    </row>
    <row r="39" spans="3:7" ht="15.75" thickBot="1" x14ac:dyDescent="0.3">
      <c r="C39" s="8" t="s">
        <v>15</v>
      </c>
      <c r="D39" s="222" t="s">
        <v>236</v>
      </c>
      <c r="E39" s="227">
        <f>L5+L7+L6+L8+L10+L12+L13+L15+L16+L17+L18+L19+L20+L21+L22+L23+L24</f>
        <v>1.9324999999999999</v>
      </c>
      <c r="F39" s="56"/>
    </row>
    <row r="40" spans="3:7" x14ac:dyDescent="0.25">
      <c r="F40">
        <f>SUM(F31:F39)</f>
        <v>28256.038000000004</v>
      </c>
      <c r="G40" t="s">
        <v>217</v>
      </c>
    </row>
  </sheetData>
  <mergeCells count="11">
    <mergeCell ref="M5:M24"/>
    <mergeCell ref="H3:J4"/>
    <mergeCell ref="K3:L3"/>
    <mergeCell ref="Q3:Q4"/>
    <mergeCell ref="B2:Q2"/>
    <mergeCell ref="C3:C4"/>
    <mergeCell ref="N3:O3"/>
    <mergeCell ref="M3:M4"/>
    <mergeCell ref="D3:D4"/>
    <mergeCell ref="P3:P4"/>
    <mergeCell ref="P5:P24"/>
  </mergeCells>
  <phoneticPr fontId="6" type="noConversion"/>
  <pageMargins left="0.7" right="0.7" top="0.75" bottom="0.75" header="0.3" footer="0.3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5225CA-A953-4E60-8F5A-1805F9731B4A}">
  <dimension ref="B1:J16"/>
  <sheetViews>
    <sheetView tabSelected="1" workbookViewId="0">
      <selection activeCell="F17" sqref="F17"/>
    </sheetView>
  </sheetViews>
  <sheetFormatPr defaultRowHeight="15" x14ac:dyDescent="0.25"/>
  <cols>
    <col min="2" max="2" width="17.5703125" customWidth="1"/>
    <col min="3" max="4" width="29.85546875" customWidth="1"/>
    <col min="5" max="5" width="19.42578125" customWidth="1"/>
    <col min="6" max="6" width="30.85546875" customWidth="1"/>
    <col min="7" max="7" width="18.85546875" customWidth="1"/>
    <col min="8" max="8" width="16.5703125" customWidth="1"/>
    <col min="9" max="9" width="9.85546875" customWidth="1"/>
    <col min="10" max="10" width="16.28515625" customWidth="1"/>
  </cols>
  <sheetData>
    <row r="1" spans="2:10" ht="15.75" thickBot="1" x14ac:dyDescent="0.3"/>
    <row r="2" spans="2:10" ht="15.75" thickBot="1" x14ac:dyDescent="0.3">
      <c r="B2" s="276" t="s">
        <v>27</v>
      </c>
      <c r="C2" s="272"/>
      <c r="D2" s="272"/>
      <c r="E2" s="272"/>
      <c r="F2" s="272"/>
      <c r="G2" s="272"/>
      <c r="H2" s="272"/>
      <c r="I2" s="272"/>
      <c r="J2" s="283"/>
    </row>
    <row r="3" spans="2:10" ht="15.75" thickBot="1" x14ac:dyDescent="0.3">
      <c r="B3" s="13" t="s">
        <v>39</v>
      </c>
      <c r="C3" s="295" t="s">
        <v>1</v>
      </c>
      <c r="D3" s="296" t="s">
        <v>189</v>
      </c>
      <c r="E3" s="13" t="s">
        <v>38</v>
      </c>
      <c r="F3" s="13" t="s">
        <v>19</v>
      </c>
      <c r="G3" s="295" t="s">
        <v>3</v>
      </c>
      <c r="H3" s="294" t="s">
        <v>15</v>
      </c>
      <c r="I3" s="294"/>
      <c r="J3" s="292" t="s">
        <v>190</v>
      </c>
    </row>
    <row r="4" spans="2:10" ht="14.45" customHeight="1" thickBot="1" x14ac:dyDescent="0.3">
      <c r="B4" s="13" t="s">
        <v>40</v>
      </c>
      <c r="C4" s="251"/>
      <c r="D4" s="265"/>
      <c r="E4" s="13" t="s">
        <v>30</v>
      </c>
      <c r="F4" s="13" t="s">
        <v>36</v>
      </c>
      <c r="G4" s="251"/>
      <c r="H4" s="12" t="s">
        <v>17</v>
      </c>
      <c r="I4" s="52" t="s">
        <v>30</v>
      </c>
      <c r="J4" s="293"/>
    </row>
    <row r="5" spans="2:10" ht="13.9" customHeight="1" x14ac:dyDescent="0.25">
      <c r="B5" s="163" t="s">
        <v>24</v>
      </c>
      <c r="C5" s="68" t="s">
        <v>29</v>
      </c>
      <c r="D5" s="120" t="s">
        <v>196</v>
      </c>
      <c r="E5" s="84">
        <v>47.9</v>
      </c>
      <c r="F5" s="166" t="s">
        <v>44</v>
      </c>
      <c r="G5" s="68" t="s">
        <v>16</v>
      </c>
      <c r="H5" s="165">
        <v>0</v>
      </c>
      <c r="I5" s="53">
        <v>0</v>
      </c>
      <c r="J5" s="57" t="s">
        <v>203</v>
      </c>
    </row>
    <row r="6" spans="2:10" ht="15.75" thickBot="1" x14ac:dyDescent="0.3">
      <c r="B6" s="164"/>
      <c r="C6" s="56"/>
      <c r="D6" s="50"/>
      <c r="E6" s="167"/>
      <c r="F6" s="50"/>
      <c r="G6" s="56"/>
      <c r="H6" s="151"/>
      <c r="I6" s="51"/>
      <c r="J6" s="56"/>
    </row>
    <row r="7" spans="2:10" x14ac:dyDescent="0.25">
      <c r="B7" s="3"/>
      <c r="E7" s="4"/>
      <c r="H7" s="1"/>
      <c r="I7" s="1"/>
    </row>
    <row r="8" spans="2:10" x14ac:dyDescent="0.25">
      <c r="B8" s="3"/>
      <c r="E8" s="4"/>
      <c r="H8" s="2"/>
      <c r="I8" s="1"/>
    </row>
    <row r="9" spans="2:10" ht="15.75" thickBot="1" x14ac:dyDescent="0.3">
      <c r="B9" s="3"/>
      <c r="E9" s="4"/>
      <c r="H9" s="1"/>
      <c r="I9" s="1"/>
    </row>
    <row r="10" spans="2:10" ht="45.75" thickBot="1" x14ac:dyDescent="0.3">
      <c r="B10" s="3"/>
      <c r="C10" s="205" t="s">
        <v>37</v>
      </c>
      <c r="D10" s="205" t="s">
        <v>212</v>
      </c>
      <c r="E10" s="15" t="s">
        <v>30</v>
      </c>
      <c r="F10" s="168" t="s">
        <v>218</v>
      </c>
      <c r="H10" s="2"/>
      <c r="I10" s="1"/>
    </row>
    <row r="11" spans="2:10" x14ac:dyDescent="0.25">
      <c r="B11" s="3"/>
      <c r="C11" s="45" t="s">
        <v>44</v>
      </c>
      <c r="D11" s="152" t="s">
        <v>196</v>
      </c>
      <c r="E11" s="223">
        <f>E5</f>
        <v>47.9</v>
      </c>
      <c r="F11" s="152">
        <f>E11*1</f>
        <v>47.9</v>
      </c>
      <c r="H11" s="2"/>
      <c r="I11" s="1"/>
    </row>
    <row r="12" spans="2:10" ht="15.75" thickBot="1" x14ac:dyDescent="0.3">
      <c r="B12" s="3"/>
      <c r="C12" s="48" t="s">
        <v>15</v>
      </c>
      <c r="D12" s="56" t="s">
        <v>203</v>
      </c>
      <c r="E12" s="49">
        <f>I5</f>
        <v>0</v>
      </c>
      <c r="F12" s="224"/>
      <c r="H12" s="1"/>
      <c r="I12" s="1"/>
    </row>
    <row r="13" spans="2:10" x14ac:dyDescent="0.25">
      <c r="B13" s="3"/>
      <c r="E13" s="4"/>
      <c r="H13" s="1"/>
      <c r="I13" s="1"/>
    </row>
    <row r="14" spans="2:10" x14ac:dyDescent="0.25">
      <c r="B14" s="3"/>
      <c r="E14" s="4"/>
      <c r="I14" s="1"/>
    </row>
    <row r="15" spans="2:10" x14ac:dyDescent="0.25">
      <c r="B15" s="3"/>
      <c r="E15" s="4"/>
      <c r="H15" s="1"/>
      <c r="I15" s="1"/>
    </row>
    <row r="16" spans="2:10" x14ac:dyDescent="0.25">
      <c r="B16" s="3"/>
      <c r="E16" s="4"/>
      <c r="H16" s="1"/>
      <c r="I16" s="1"/>
    </row>
  </sheetData>
  <mergeCells count="6">
    <mergeCell ref="J3:J4"/>
    <mergeCell ref="B2:J2"/>
    <mergeCell ref="H3:I3"/>
    <mergeCell ref="G3:G4"/>
    <mergeCell ref="C3:C4"/>
    <mergeCell ref="D3:D4"/>
  </mergeCells>
  <phoneticPr fontId="6" type="noConversion"/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PARTER</vt:lpstr>
      <vt:lpstr>I Pietro</vt:lpstr>
      <vt:lpstr>Poddasze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Krzysztof Hałoński</dc:creator>
  <cp:lastModifiedBy>Emilia Szczybura</cp:lastModifiedBy>
  <cp:lastPrinted>2024-05-28T06:42:38Z</cp:lastPrinted>
  <dcterms:created xsi:type="dcterms:W3CDTF">2015-06-05T18:19:34Z</dcterms:created>
  <dcterms:modified xsi:type="dcterms:W3CDTF">2024-05-28T06:45:18Z</dcterms:modified>
</cp:coreProperties>
</file>