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ad.kpnmab.pl\praca\Archiwum ZP\PRZETARGI 2024\KPN-9-2024 sprzatanie II przetarg na rok\2. dokumnetacja\"/>
    </mc:Choice>
  </mc:AlternateContent>
  <xr:revisionPtr revIDLastSave="0" documentId="13_ncr:1_{F0739D14-B0B0-446B-89B8-5DB3D8C7C00E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PIWNICA" sheetId="1" r:id="rId1"/>
    <sheet name="PARTER" sheetId="2" r:id="rId2"/>
    <sheet name="I PIĘTRO" sheetId="3" r:id="rId3"/>
    <sheet name="II Pietro" sheetId="4" r:id="rId4"/>
    <sheet name="Poddasze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" i="3" l="1"/>
  <c r="F33" i="4"/>
  <c r="F30" i="4"/>
  <c r="F29" i="4"/>
  <c r="E28" i="4"/>
  <c r="F28" i="4" s="1"/>
  <c r="F31" i="3"/>
  <c r="E25" i="3"/>
  <c r="F28" i="3"/>
  <c r="E28" i="3"/>
  <c r="F27" i="3"/>
  <c r="E27" i="3"/>
  <c r="F26" i="3"/>
  <c r="E26" i="3"/>
  <c r="E24" i="3"/>
  <c r="F24" i="3" s="1"/>
  <c r="E24" i="1"/>
  <c r="E22" i="1"/>
  <c r="E21" i="1"/>
  <c r="D22" i="1"/>
  <c r="D21" i="1"/>
  <c r="E20" i="1"/>
  <c r="D20" i="1"/>
  <c r="E22" i="2"/>
  <c r="E21" i="2"/>
  <c r="E20" i="2"/>
  <c r="D22" i="2"/>
  <c r="D21" i="2"/>
  <c r="D20" i="2"/>
  <c r="F5" i="2"/>
  <c r="F6" i="2"/>
  <c r="F8" i="2"/>
  <c r="F9" i="2"/>
  <c r="F10" i="2"/>
  <c r="F11" i="2"/>
  <c r="F12" i="2"/>
  <c r="F13" i="2"/>
  <c r="F14" i="2"/>
  <c r="F4" i="2"/>
  <c r="G20" i="4"/>
  <c r="G18" i="4"/>
  <c r="E23" i="4"/>
  <c r="G16" i="3"/>
  <c r="G14" i="3"/>
  <c r="G11" i="3"/>
  <c r="N7" i="3"/>
  <c r="G6" i="3"/>
  <c r="G5" i="3"/>
  <c r="E19" i="3"/>
  <c r="D15" i="1"/>
  <c r="P20" i="4"/>
  <c r="N17" i="4"/>
  <c r="P17" i="4"/>
  <c r="E30" i="4"/>
  <c r="I8" i="5"/>
  <c r="D23" i="2"/>
  <c r="F5" i="1"/>
  <c r="F8" i="1"/>
  <c r="F11" i="1"/>
  <c r="P14" i="4"/>
  <c r="N14" i="4"/>
  <c r="P13" i="4"/>
  <c r="N13" i="4"/>
  <c r="P11" i="4"/>
  <c r="N11" i="4"/>
  <c r="E9" i="5"/>
  <c r="N21" i="4"/>
  <c r="G19" i="4"/>
  <c r="G17" i="4"/>
  <c r="E17" i="4"/>
  <c r="G15" i="4"/>
  <c r="G14" i="4"/>
  <c r="G13" i="4"/>
  <c r="G12" i="4"/>
  <c r="G11" i="4"/>
  <c r="G10" i="4"/>
  <c r="G9" i="4"/>
  <c r="G8" i="4"/>
  <c r="G15" i="3"/>
  <c r="G9" i="3"/>
  <c r="G13" i="3"/>
  <c r="G10" i="3"/>
  <c r="N16" i="3"/>
  <c r="N6" i="3"/>
  <c r="G8" i="3"/>
  <c r="F25" i="3" l="1"/>
  <c r="E24" i="2"/>
  <c r="E29" i="4"/>
  <c r="E32" i="4"/>
</calcChain>
</file>

<file path=xl/sharedStrings.xml><?xml version="1.0" encoding="utf-8"?>
<sst xmlns="http://schemas.openxmlformats.org/spreadsheetml/2006/main" count="543" uniqueCount="246">
  <si>
    <t>PIWNICA</t>
  </si>
  <si>
    <t xml:space="preserve">Powierzchnia m2 </t>
  </si>
  <si>
    <t>Nazwa</t>
  </si>
  <si>
    <t>Płyty kamienne -  piaskowiec</t>
  </si>
  <si>
    <t>Klatka schodowa</t>
  </si>
  <si>
    <t>P02+P04</t>
  </si>
  <si>
    <t xml:space="preserve">Komunikacja </t>
  </si>
  <si>
    <t>Płytki ceramiczne</t>
  </si>
  <si>
    <t>P01</t>
  </si>
  <si>
    <t>P03</t>
  </si>
  <si>
    <t xml:space="preserve">Magazyn </t>
  </si>
  <si>
    <t>Uwagi</t>
  </si>
  <si>
    <t>P05</t>
  </si>
  <si>
    <t xml:space="preserve">Pomieszczenie elektryczne </t>
  </si>
  <si>
    <t>P06</t>
  </si>
  <si>
    <t>Węzeł sanitarny dla pracowników</t>
  </si>
  <si>
    <t>WC</t>
  </si>
  <si>
    <t>P08</t>
  </si>
  <si>
    <t>WC dla niepełnosprawnych</t>
  </si>
  <si>
    <t>1x prysznic, 1x miska ustępowa, 1x umywalka,1x komora gospodarcza, płytki na ścianach</t>
  </si>
  <si>
    <t>1x miska ustępowa, 1x umywalka,1x lustro, płytki na ścianach</t>
  </si>
  <si>
    <t>P09</t>
  </si>
  <si>
    <t>Pomieszczenie techniczne</t>
  </si>
  <si>
    <t>Dostęp ograniczony POMPY</t>
  </si>
  <si>
    <t>P10</t>
  </si>
  <si>
    <t>P11</t>
  </si>
  <si>
    <t>1x umywalka, 1x zlew</t>
  </si>
  <si>
    <t>WC damskie</t>
  </si>
  <si>
    <t>2x miska ustępowa, 2x umywalka, płytki na ścianach, lustro</t>
  </si>
  <si>
    <t>P07</t>
  </si>
  <si>
    <t>WC męskie</t>
  </si>
  <si>
    <t>1x miska ustępowa,1x pisuar, 2x umywalka, płytki na ścianach, lustro</t>
  </si>
  <si>
    <t>P12</t>
  </si>
  <si>
    <t>Pomieszczenie gospodarcze</t>
  </si>
  <si>
    <t>SCHODY</t>
  </si>
  <si>
    <t>Komunikacja, holl</t>
  </si>
  <si>
    <t>Płytki kamienne - Piaskowiec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</si>
  <si>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</si>
  <si>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</si>
  <si>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</si>
  <si>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</si>
  <si>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</si>
  <si>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</si>
  <si>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</si>
  <si>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</si>
  <si>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</si>
  <si>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</si>
  <si>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</si>
  <si>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Sala ekspozycyjna</t>
  </si>
  <si>
    <t>Sala kominkowa</t>
  </si>
  <si>
    <t>Parkiet</t>
  </si>
  <si>
    <t>Pomieszcenie pomocnicze</t>
  </si>
  <si>
    <t>OKNA</t>
  </si>
  <si>
    <t>Ograniczony dostęp</t>
  </si>
  <si>
    <t>sztuki</t>
  </si>
  <si>
    <t>PARTER</t>
  </si>
  <si>
    <t>Rodzaj wykończenia posadzki</t>
  </si>
  <si>
    <t>101</t>
  </si>
  <si>
    <t>102</t>
  </si>
  <si>
    <t>Sekretariat</t>
  </si>
  <si>
    <t>Wykładzina dywanowa</t>
  </si>
  <si>
    <t xml:space="preserve">Wyposażenie </t>
  </si>
  <si>
    <t>I PIĘTRO</t>
  </si>
  <si>
    <t>1x biurko1,6x0,8</t>
  </si>
  <si>
    <t>1x stolik 1,1x0,55</t>
  </si>
  <si>
    <t>103</t>
  </si>
  <si>
    <t>Gabinet Dyrektora</t>
  </si>
  <si>
    <t>Powierzchnia pomiejszona o miejsce zajęte przez meble (szafy)</t>
  </si>
  <si>
    <t>Komoda 3,2x0,45</t>
  </si>
  <si>
    <t>1x biurko 2,2*1</t>
  </si>
  <si>
    <t>1x szafa 0,8x0,45</t>
  </si>
  <si>
    <t>1x szafa 0,7x0,45</t>
  </si>
  <si>
    <t>1x stół konferencyjny 2,2x1,2</t>
  </si>
  <si>
    <t>104</t>
  </si>
  <si>
    <t>Weranada</t>
  </si>
  <si>
    <t>105</t>
  </si>
  <si>
    <t>Gabinet Z-cy Dyrektora</t>
  </si>
  <si>
    <t>1x biurko 2,0*1</t>
  </si>
  <si>
    <t>106</t>
  </si>
  <si>
    <t>107</t>
  </si>
  <si>
    <t>108</t>
  </si>
  <si>
    <t>Sala konferencyjna</t>
  </si>
  <si>
    <t>Komunikacja</t>
  </si>
  <si>
    <t>WITRYNA (zew +wew)</t>
  </si>
  <si>
    <t>109</t>
  </si>
  <si>
    <t>WC płytki na ścianach</t>
  </si>
  <si>
    <t>3x miska ustępowa</t>
  </si>
  <si>
    <t>4x umywalka</t>
  </si>
  <si>
    <t>1x pisuar</t>
  </si>
  <si>
    <t>3 x lustro</t>
  </si>
  <si>
    <t>Pomieszczenie biurowe</t>
  </si>
  <si>
    <t>Główny księgowy</t>
  </si>
  <si>
    <t>110</t>
  </si>
  <si>
    <t>111</t>
  </si>
  <si>
    <t>112</t>
  </si>
  <si>
    <t>113</t>
  </si>
  <si>
    <t>114</t>
  </si>
  <si>
    <t>115</t>
  </si>
  <si>
    <t>Pomieszczenie kasy</t>
  </si>
  <si>
    <t>1 + okno podawcze</t>
  </si>
  <si>
    <t>Archiwum</t>
  </si>
  <si>
    <t>3x szafka 0,8*0,45</t>
  </si>
  <si>
    <t>1x stolik 0,55x0,55</t>
  </si>
  <si>
    <t>3 x biurko 1,6x0,8</t>
  </si>
  <si>
    <t>8x szfa 0,8*0,45</t>
  </si>
  <si>
    <t>1 x biurko 1,6x0,6 +1x1,6x0,8</t>
  </si>
  <si>
    <t>4 x biurko 1,6x0,8</t>
  </si>
  <si>
    <t>4x szfa 0,8*0,45</t>
  </si>
  <si>
    <t>II PIĘTRO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</si>
  <si>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</si>
  <si>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</si>
  <si>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</si>
  <si>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</si>
  <si>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</si>
  <si>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</si>
  <si>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</si>
  <si>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</si>
  <si>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</si>
  <si>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</si>
  <si>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</si>
  <si>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</si>
  <si>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215</t>
  </si>
  <si>
    <t>1 x biurko 1,6x0,8 +1x1,2x0,6</t>
  </si>
  <si>
    <t>1 x biurko 1,6x0,8</t>
  </si>
  <si>
    <t>3x szafa 0,8*0,45</t>
  </si>
  <si>
    <t>1x szafa otwarta 0,6*0,45</t>
  </si>
  <si>
    <t>4x szafa 0,8*0,45</t>
  </si>
  <si>
    <t>1x biurko 1,6x0,6</t>
  </si>
  <si>
    <t>2 x biurko 1,6x0,8 +2x1,2x0,6</t>
  </si>
  <si>
    <t>3x biurko 1,6x0,8 + 3x1,2x0,6</t>
  </si>
  <si>
    <t>8x szafa 0,8*0,45</t>
  </si>
  <si>
    <t>2x szafa 0,8*0,45</t>
  </si>
  <si>
    <t>1x szafka 0,8x0,45</t>
  </si>
  <si>
    <t>3x biurko 1,6x0,8 + 1x1,2x0,6</t>
  </si>
  <si>
    <t>12x szafa 0,8*0,45</t>
  </si>
  <si>
    <t>2 x biurko 1,6x0,8 +1x1,2x0,6</t>
  </si>
  <si>
    <t>213 +214</t>
  </si>
  <si>
    <t>216</t>
  </si>
  <si>
    <t>1 x biurko 1,8x0,8 +1x1,6x0,8</t>
  </si>
  <si>
    <t>1x biurko 1,2x0,6</t>
  </si>
  <si>
    <t>5 x biurko 1,6x0,8</t>
  </si>
  <si>
    <t>1 x szafka 0,8*0,45</t>
  </si>
  <si>
    <t>217</t>
  </si>
  <si>
    <t>Pomieszczenie socjalne</t>
  </si>
  <si>
    <t>218</t>
  </si>
  <si>
    <t>3x stół 1,0x0,8</t>
  </si>
  <si>
    <t>219</t>
  </si>
  <si>
    <t>Umeblowanie</t>
  </si>
  <si>
    <t>Szafka metalowa 10 x 0,3*0,5</t>
  </si>
  <si>
    <t>Szafka metalowa 2x0,6*0,5</t>
  </si>
  <si>
    <t>Szafka ubraniowa  20x0,4*0,5</t>
  </si>
  <si>
    <t>PODDASZE</t>
  </si>
  <si>
    <t>POD 01</t>
  </si>
  <si>
    <t xml:space="preserve">Kotłownia </t>
  </si>
  <si>
    <t>Posadzka betonowa</t>
  </si>
  <si>
    <t>POD 02</t>
  </si>
  <si>
    <t>POD 03</t>
  </si>
  <si>
    <t>POD 04</t>
  </si>
  <si>
    <t>Wentylatorownia</t>
  </si>
  <si>
    <t>Schody</t>
  </si>
  <si>
    <t>Posadzka pod schodami stalowymi</t>
  </si>
  <si>
    <t xml:space="preserve">Pomieszczenie techniczne </t>
  </si>
  <si>
    <t>Poddasze nieużytkowe</t>
  </si>
  <si>
    <t>2 + ścianka szklana S4</t>
  </si>
  <si>
    <t>1 + ścianka szklana S1</t>
  </si>
  <si>
    <t>1 + ścianka szklana S2</t>
  </si>
  <si>
    <t>2 + ścianka szklana S5 i S6</t>
  </si>
  <si>
    <t>ścianka szklana S7</t>
  </si>
  <si>
    <t>m2</t>
  </si>
  <si>
    <t>POSADZKI</t>
  </si>
  <si>
    <t xml:space="preserve">Rodzaj wykończenia </t>
  </si>
  <si>
    <t>Numer</t>
  </si>
  <si>
    <t>Witryna</t>
  </si>
  <si>
    <t xml:space="preserve">Powierzchnia  </t>
  </si>
  <si>
    <t>Pomieszczenia</t>
  </si>
  <si>
    <t>Rodzaj</t>
  </si>
  <si>
    <t>Materiał</t>
  </si>
  <si>
    <t>UWAGI</t>
  </si>
  <si>
    <t>Zabytkowy parkiet</t>
  </si>
  <si>
    <t>Ograniczony dostęp - 1x zlewozmywak, 1x umywalka</t>
  </si>
  <si>
    <t>SCHODY 2x wycieraczki wewnętrzne</t>
  </si>
  <si>
    <t>NAZWA</t>
  </si>
  <si>
    <t>POWIERZCHNIA</t>
  </si>
  <si>
    <t>RODZAJ WYKOŃCZENIA</t>
  </si>
  <si>
    <t>MATERIAŁ</t>
  </si>
  <si>
    <t>POMIESZCZENIA</t>
  </si>
  <si>
    <t>Nr</t>
  </si>
  <si>
    <t xml:space="preserve">POWIERZCHNIA </t>
  </si>
  <si>
    <t>POWIERZCHNIA POMIENJSZONA O ZAJMOWANE UMEBLOWANIE</t>
  </si>
  <si>
    <t>WYPOSAŻENIE</t>
  </si>
  <si>
    <t>WYPOSAŻENIE WC</t>
  </si>
  <si>
    <t>POMIESZCZENIE</t>
  </si>
  <si>
    <t>WC + płytki na ścianach</t>
  </si>
  <si>
    <t>Zestawienie powierzchni z podziałem na materiał wykończeniowy</t>
  </si>
  <si>
    <t>3+1 x drzwi przeszklone</t>
  </si>
  <si>
    <t>1 x drzwi przeszklone</t>
  </si>
  <si>
    <t>O2x2, O1x1, O5x1,</t>
  </si>
  <si>
    <t>Powierzchnia</t>
  </si>
  <si>
    <t>Pomieszczenie</t>
  </si>
  <si>
    <t>nr</t>
  </si>
  <si>
    <t>ŚCIANKI SZKLANE</t>
  </si>
  <si>
    <t>EKSPOZYCJA</t>
  </si>
  <si>
    <t>WINDA zewnatrz</t>
  </si>
  <si>
    <t>Stół konferencyjny 11,8x0,8</t>
  </si>
  <si>
    <t>Zabudowa kuchenna 2,7x0,8</t>
  </si>
  <si>
    <t>1x półka wisząca 4x0,4  1x regał otwarty 1,6*0,35*1,9</t>
  </si>
  <si>
    <t>Szafa 2,2x0,8</t>
  </si>
  <si>
    <t>Lada recepcyjna 3x0,9x1,1+1,4x07x1,1</t>
  </si>
  <si>
    <t>2x regał otwarty 1,6x0,35x1,8</t>
  </si>
  <si>
    <t>1x sejf 0,6x0,6x1,5</t>
  </si>
  <si>
    <t>2 x regał otwarty 1,3x0,3,5x1,8</t>
  </si>
  <si>
    <t>zestaw kuchenny 6,7x0,6x0,9</t>
  </si>
  <si>
    <t>Szafki wiszące 6,7x0,4x0,7</t>
  </si>
  <si>
    <t xml:space="preserve">OKNA </t>
  </si>
  <si>
    <t>WINDA zewnatrz/ wewnatrz/podłoga</t>
  </si>
  <si>
    <t>WINDA</t>
  </si>
  <si>
    <t>WINDA powierzchnia zewnątrz 26,56 Powierzchnia wewnątrz 11,76 Powierzchnia podłogi 1,92</t>
  </si>
  <si>
    <t>CZĘSTOTLIWOŚĆ SPRZĄTANIA POMIESZCZEŃ</t>
  </si>
  <si>
    <t>CZĘSTOTLIWOŚĆ MYCIA OKIEN</t>
  </si>
  <si>
    <t>Powierzchnia pomiejszona o miejsce zajęte przez meble, szafy</t>
  </si>
  <si>
    <t xml:space="preserve">Dostęp ograniczony </t>
  </si>
  <si>
    <t>1 raz w miesiącu</t>
  </si>
  <si>
    <t>W dyspozycji firmy sprzatającej</t>
  </si>
  <si>
    <t>Wyłączone ze sprzątania</t>
  </si>
  <si>
    <t>WINDA drzwi zewnętrzne</t>
  </si>
  <si>
    <t xml:space="preserve">Powierzchnia zajęta przez ekspozycję </t>
  </si>
  <si>
    <t>2 razy w roku  w terminie wskazanym przez Zamawiającego</t>
  </si>
  <si>
    <t>Szkło zewnętrznę 1 raz w miesiącu Winda wewnątrz: - podłoga codziennie , ściany 1 raz w tygodniu w poniedziałki</t>
  </si>
  <si>
    <t>1 raz w tygodniu w poniedziałek</t>
  </si>
  <si>
    <t>Pomieszczenie służbowe</t>
  </si>
  <si>
    <t xml:space="preserve">Brak </t>
  </si>
  <si>
    <t>Codziennie**</t>
  </si>
  <si>
    <t>26,56/11,76/1,92</t>
  </si>
  <si>
    <t>sprzątenie codziennie od poniedziałku do soboty włącznie</t>
  </si>
  <si>
    <t>CZĘSTOTLIWOŚĆ SPRZĄTANIA</t>
  </si>
  <si>
    <t>Ilość m2 do sprzątania podłóg w miesiącu. Przyjęto średnio 21 dni roboczych w miesiącu.</t>
  </si>
  <si>
    <t>Razem</t>
  </si>
  <si>
    <t>Ilość m2 do sprzątania podłóg w miesiącu. Przyjęto średnio 21 dni roboczych i 4 soboty w miesiącu. Czyli w tygodniu 25 dni sprzatania.</t>
  </si>
  <si>
    <t>BRAK DOSTĘPU</t>
  </si>
  <si>
    <t>RAZEM</t>
  </si>
  <si>
    <t>Codziennie*</t>
  </si>
  <si>
    <t>sprzątenie codziennie od poniedziałku do piątku włącznie</t>
  </si>
  <si>
    <t>Płytki kamienne - piaskowiec</t>
  </si>
  <si>
    <t xml:space="preserve">Okna </t>
  </si>
  <si>
    <t>2 raz w roku</t>
  </si>
  <si>
    <t>2 razy w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</si>
</sst>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0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0" fillId="0" borderId="6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" fillId="0" borderId="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7" xfId="0" applyFont="1" applyBorder="1"/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/>
    </xf>
    <xf numFmtId="0" fontId="0" fillId="0" borderId="6" xfId="0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5" fillId="0" borderId="6" xfId="0" applyFont="1" applyBorder="1" applyAlignment="1">
      <alignment horizontal="left" vertical="top"/>
    </xf>
    <xf numFmtId="0" fontId="0" fillId="0" borderId="8" xfId="0" applyBorder="1" applyAlignment="1">
      <alignment horizontal="center"/>
    </xf>
    <xf numFmtId="0" fontId="0" fillId="0" borderId="13" xfId="0" applyBorder="1" applyAlignment="1">
      <alignment horizontal="left" vertical="top"/>
    </xf>
    <xf numFmtId="0" fontId="2" fillId="0" borderId="21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5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top" wrapText="1"/>
    </xf>
    <xf numFmtId="0" fontId="2" fillId="0" borderId="22" xfId="0" applyFont="1" applyBorder="1" applyAlignment="1">
      <alignment horizontal="center" vertical="center"/>
    </xf>
    <xf numFmtId="0" fontId="0" fillId="0" borderId="26" xfId="0" applyBorder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Border="1"/>
    <xf numFmtId="0" fontId="2" fillId="0" borderId="32" xfId="0" applyFont="1" applyBorder="1" applyAlignment="1">
      <alignment horizontal="center" vertical="center"/>
    </xf>
    <xf numFmtId="0" fontId="0" fillId="0" borderId="29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1" xfId="0" applyBorder="1"/>
    <xf numFmtId="0" fontId="0" fillId="0" borderId="33" xfId="0" applyBorder="1"/>
    <xf numFmtId="0" fontId="5" fillId="0" borderId="35" xfId="0" applyFont="1" applyBorder="1"/>
    <xf numFmtId="0" fontId="0" fillId="0" borderId="25" xfId="0" applyBorder="1"/>
    <xf numFmtId="0" fontId="0" fillId="0" borderId="27" xfId="0" applyBorder="1"/>
    <xf numFmtId="0" fontId="0" fillId="0" borderId="42" xfId="0" applyBorder="1"/>
    <xf numFmtId="0" fontId="5" fillId="0" borderId="33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33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35" xfId="0" applyBorder="1" applyAlignment="1">
      <alignment wrapText="1"/>
    </xf>
    <xf numFmtId="49" fontId="0" fillId="0" borderId="37" xfId="0" applyNumberFormat="1" applyBorder="1" applyAlignment="1">
      <alignment horizontal="center"/>
    </xf>
    <xf numFmtId="49" fontId="0" fillId="0" borderId="38" xfId="0" applyNumberFormat="1" applyBorder="1" applyAlignment="1">
      <alignment horizontal="center"/>
    </xf>
    <xf numFmtId="0" fontId="0" fillId="0" borderId="39" xfId="0" applyBorder="1"/>
    <xf numFmtId="0" fontId="3" fillId="0" borderId="33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0" fillId="0" borderId="45" xfId="0" applyBorder="1" applyAlignment="1">
      <alignment wrapText="1"/>
    </xf>
    <xf numFmtId="49" fontId="0" fillId="0" borderId="46" xfId="0" applyNumberFormat="1" applyBorder="1" applyAlignment="1">
      <alignment horizontal="center"/>
    </xf>
    <xf numFmtId="49" fontId="0" fillId="0" borderId="38" xfId="0" applyNumberFormat="1" applyBorder="1" applyAlignment="1">
      <alignment horizontal="center" vertical="center"/>
    </xf>
    <xf numFmtId="49" fontId="0" fillId="0" borderId="39" xfId="0" applyNumberFormat="1" applyBorder="1" applyAlignment="1">
      <alignment horizontal="center"/>
    </xf>
    <xf numFmtId="0" fontId="0" fillId="0" borderId="34" xfId="0" applyBorder="1" applyAlignment="1">
      <alignment vertical="center"/>
    </xf>
    <xf numFmtId="0" fontId="0" fillId="0" borderId="48" xfId="0" applyBorder="1"/>
    <xf numFmtId="0" fontId="0" fillId="0" borderId="27" xfId="0" applyBorder="1" applyAlignment="1">
      <alignment vertical="center"/>
    </xf>
    <xf numFmtId="0" fontId="5" fillId="0" borderId="34" xfId="0" applyFont="1" applyBorder="1" applyAlignment="1">
      <alignment horizontal="center" vertical="center"/>
    </xf>
    <xf numFmtId="0" fontId="0" fillId="0" borderId="47" xfId="0" applyBorder="1" applyAlignment="1">
      <alignment horizontal="left" vertical="top"/>
    </xf>
    <xf numFmtId="0" fontId="5" fillId="0" borderId="41" xfId="0" applyFont="1" applyBorder="1" applyAlignment="1">
      <alignment horizontal="left" vertical="top"/>
    </xf>
    <xf numFmtId="0" fontId="5" fillId="0" borderId="41" xfId="0" applyFont="1" applyBorder="1" applyAlignment="1">
      <alignment horizontal="left" vertical="center"/>
    </xf>
    <xf numFmtId="0" fontId="0" fillId="0" borderId="41" xfId="0" applyBorder="1" applyAlignment="1">
      <alignment horizontal="left" vertical="top"/>
    </xf>
    <xf numFmtId="0" fontId="0" fillId="0" borderId="42" xfId="0" applyBorder="1" applyAlignment="1">
      <alignment horizontal="left" vertical="top"/>
    </xf>
    <xf numFmtId="0" fontId="0" fillId="0" borderId="29" xfId="0" applyBorder="1" applyAlignment="1">
      <alignment horizontal="left" vertical="top"/>
    </xf>
    <xf numFmtId="0" fontId="5" fillId="0" borderId="29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0" fillId="0" borderId="27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/>
    <xf numFmtId="0" fontId="5" fillId="0" borderId="34" xfId="0" applyFont="1" applyBorder="1"/>
    <xf numFmtId="0" fontId="3" fillId="0" borderId="41" xfId="0" applyFont="1" applyBorder="1" applyAlignment="1">
      <alignment horizontal="left" vertical="top"/>
    </xf>
    <xf numFmtId="0" fontId="5" fillId="0" borderId="10" xfId="0" applyFont="1" applyBorder="1" applyAlignment="1">
      <alignment horizontal="center"/>
    </xf>
    <xf numFmtId="0" fontId="5" fillId="0" borderId="10" xfId="0" applyFont="1" applyBorder="1"/>
    <xf numFmtId="0" fontId="0" fillId="0" borderId="48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5" fillId="0" borderId="34" xfId="0" applyFont="1" applyBorder="1" applyAlignment="1">
      <alignment horizontal="left" vertical="top"/>
    </xf>
    <xf numFmtId="0" fontId="5" fillId="0" borderId="35" xfId="0" applyFont="1" applyBorder="1" applyAlignment="1">
      <alignment horizontal="center"/>
    </xf>
    <xf numFmtId="0" fontId="5" fillId="0" borderId="26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17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37" xfId="0" applyFont="1" applyBorder="1"/>
    <xf numFmtId="0" fontId="7" fillId="0" borderId="38" xfId="0" applyFont="1" applyBorder="1"/>
    <xf numFmtId="0" fontId="1" fillId="0" borderId="38" xfId="0" applyFont="1" applyBorder="1"/>
    <xf numFmtId="0" fontId="6" fillId="0" borderId="18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2" fillId="0" borderId="21" xfId="0" applyFont="1" applyBorder="1" applyAlignment="1">
      <alignment wrapText="1"/>
    </xf>
    <xf numFmtId="0" fontId="0" fillId="0" borderId="0" xfId="0" applyAlignment="1">
      <alignment horizontal="right"/>
    </xf>
    <xf numFmtId="0" fontId="6" fillId="0" borderId="22" xfId="0" applyFont="1" applyBorder="1" applyAlignment="1">
      <alignment horizontal="center" vertical="center" wrapText="1"/>
    </xf>
    <xf numFmtId="0" fontId="5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17" xfId="0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8" fillId="0" borderId="34" xfId="0" applyFont="1" applyBorder="1" applyAlignment="1">
      <alignment vertical="center"/>
    </xf>
    <xf numFmtId="0" fontId="7" fillId="0" borderId="35" xfId="0" applyFont="1" applyBorder="1"/>
    <xf numFmtId="0" fontId="7" fillId="0" borderId="36" xfId="0" applyFont="1" applyBorder="1"/>
    <xf numFmtId="0" fontId="7" fillId="0" borderId="46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7" fillId="0" borderId="24" xfId="0" applyFont="1" applyBorder="1" applyAlignment="1">
      <alignment horizontal="center"/>
    </xf>
    <xf numFmtId="0" fontId="0" fillId="0" borderId="26" xfId="0" applyBorder="1" applyAlignment="1">
      <alignment horizontal="center" vertical="center" wrapText="1"/>
    </xf>
    <xf numFmtId="0" fontId="7" fillId="0" borderId="38" xfId="0" applyFont="1" applyBorder="1" applyAlignment="1">
      <alignment wrapText="1"/>
    </xf>
    <xf numFmtId="0" fontId="7" fillId="0" borderId="25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7" xfId="0" applyBorder="1"/>
    <xf numFmtId="0" fontId="0" fillId="0" borderId="9" xfId="0" applyBorder="1"/>
    <xf numFmtId="0" fontId="0" fillId="0" borderId="11" xfId="0" applyBorder="1"/>
    <xf numFmtId="0" fontId="7" fillId="0" borderId="43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7" fillId="0" borderId="33" xfId="0" applyFont="1" applyBorder="1"/>
    <xf numFmtId="0" fontId="7" fillId="0" borderId="17" xfId="0" applyFont="1" applyBorder="1"/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wrapText="1"/>
    </xf>
    <xf numFmtId="0" fontId="2" fillId="0" borderId="35" xfId="0" applyFont="1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3"/>
  <sheetViews>
    <sheetView workbookViewId="0">
      <selection activeCell="E22" sqref="E22"/>
    </sheetView>
  </sheetViews>
  <sheetFormatPr defaultRowHeight="15" x14ac:dyDescent="0.25"/>
  <cols>
    <col min="1" max="1" width="16.28515625" customWidth="1"/>
    <col min="2" max="3" width="29.85546875" customWidth="1"/>
    <col min="4" max="4" width="15.28515625" customWidth="1"/>
    <col min="5" max="5" width="24.5703125" customWidth="1"/>
    <col min="6" max="6" width="20.7109375" customWidth="1"/>
    <col min="7" max="7" width="26" customWidth="1"/>
    <col min="8" max="8" width="38.85546875" customWidth="1"/>
    <col min="9" max="9" width="26.42578125" customWidth="1"/>
  </cols>
  <sheetData>
    <row r="1" spans="1:10" ht="15.75" thickBot="1" x14ac:dyDescent="0.3">
      <c r="A1" s="175" t="s">
        <v>0</v>
      </c>
      <c r="B1" s="176"/>
      <c r="C1" s="176"/>
      <c r="D1" s="176"/>
      <c r="E1" s="176"/>
      <c r="F1" s="176"/>
      <c r="G1" s="176"/>
      <c r="H1" s="176"/>
      <c r="I1" s="177"/>
    </row>
    <row r="2" spans="1:10" ht="60.75" thickBot="1" x14ac:dyDescent="0.3">
      <c r="A2" s="12" t="s">
        <v>191</v>
      </c>
      <c r="B2" s="178" t="s">
        <v>181</v>
      </c>
      <c r="C2" s="182" t="s">
        <v>217</v>
      </c>
      <c r="D2" s="12" t="s">
        <v>187</v>
      </c>
      <c r="E2" s="12" t="s">
        <v>183</v>
      </c>
      <c r="F2" s="19" t="s">
        <v>188</v>
      </c>
      <c r="G2" s="12" t="s">
        <v>189</v>
      </c>
      <c r="H2" s="180" t="s">
        <v>190</v>
      </c>
      <c r="I2" s="178" t="s">
        <v>11</v>
      </c>
      <c r="J2" s="2"/>
    </row>
    <row r="3" spans="1:10" ht="15.75" thickBot="1" x14ac:dyDescent="0.3">
      <c r="A3" s="20" t="s">
        <v>186</v>
      </c>
      <c r="B3" s="179"/>
      <c r="C3" s="183"/>
      <c r="D3" s="20" t="s">
        <v>168</v>
      </c>
      <c r="E3" s="20" t="s">
        <v>184</v>
      </c>
      <c r="F3" s="20" t="s">
        <v>168</v>
      </c>
      <c r="G3" s="20" t="s">
        <v>147</v>
      </c>
      <c r="H3" s="181"/>
      <c r="I3" s="179"/>
    </row>
    <row r="4" spans="1:10" x14ac:dyDescent="0.25">
      <c r="A4" s="46" t="s">
        <v>8</v>
      </c>
      <c r="B4" s="50" t="s">
        <v>4</v>
      </c>
      <c r="C4" s="109" t="s">
        <v>231</v>
      </c>
      <c r="D4" s="55">
        <v>12.9</v>
      </c>
      <c r="E4" s="52" t="s">
        <v>3</v>
      </c>
      <c r="F4" s="55">
        <v>0</v>
      </c>
      <c r="G4" s="63"/>
      <c r="H4" s="71"/>
      <c r="I4" s="68" t="s">
        <v>34</v>
      </c>
    </row>
    <row r="5" spans="1:10" x14ac:dyDescent="0.25">
      <c r="A5" s="47" t="s">
        <v>5</v>
      </c>
      <c r="B5" s="43" t="s">
        <v>6</v>
      </c>
      <c r="C5" s="110" t="s">
        <v>231</v>
      </c>
      <c r="D5" s="56">
        <v>109.2</v>
      </c>
      <c r="E5" s="53" t="s">
        <v>7</v>
      </c>
      <c r="F5" s="56">
        <f>20*0.4*0.5</f>
        <v>4</v>
      </c>
      <c r="G5" s="64" t="s">
        <v>150</v>
      </c>
      <c r="H5" s="72"/>
      <c r="I5" s="69"/>
    </row>
    <row r="6" spans="1:10" x14ac:dyDescent="0.25">
      <c r="A6" s="47" t="s">
        <v>9</v>
      </c>
      <c r="B6" s="104" t="s">
        <v>10</v>
      </c>
      <c r="C6" s="110" t="s">
        <v>221</v>
      </c>
      <c r="D6" s="56">
        <v>28.59</v>
      </c>
      <c r="E6" s="53" t="s">
        <v>7</v>
      </c>
      <c r="F6" s="56">
        <v>0</v>
      </c>
      <c r="G6" s="65"/>
      <c r="H6" s="72"/>
      <c r="I6" s="69" t="s">
        <v>220</v>
      </c>
    </row>
    <row r="7" spans="1:10" x14ac:dyDescent="0.25">
      <c r="A7" s="47" t="s">
        <v>12</v>
      </c>
      <c r="B7" s="104" t="s">
        <v>13</v>
      </c>
      <c r="C7" s="110" t="s">
        <v>221</v>
      </c>
      <c r="D7" s="56">
        <v>13</v>
      </c>
      <c r="E7" s="53" t="s">
        <v>7</v>
      </c>
      <c r="F7" s="56">
        <v>0</v>
      </c>
      <c r="G7" s="65"/>
      <c r="H7" s="72"/>
      <c r="I7" s="69" t="s">
        <v>220</v>
      </c>
    </row>
    <row r="8" spans="1:10" ht="45" x14ac:dyDescent="0.25">
      <c r="A8" s="141" t="s">
        <v>14</v>
      </c>
      <c r="B8" s="142" t="s">
        <v>15</v>
      </c>
      <c r="C8" s="140" t="s">
        <v>222</v>
      </c>
      <c r="D8" s="56">
        <v>0</v>
      </c>
      <c r="E8" s="53" t="s">
        <v>7</v>
      </c>
      <c r="F8" s="56">
        <f>10*0.3*0.5</f>
        <v>1.5</v>
      </c>
      <c r="G8" s="66" t="s">
        <v>148</v>
      </c>
      <c r="H8" s="72" t="s">
        <v>19</v>
      </c>
      <c r="I8" s="69" t="s">
        <v>192</v>
      </c>
    </row>
    <row r="9" spans="1:10" ht="30" x14ac:dyDescent="0.25">
      <c r="A9" s="47" t="s">
        <v>29</v>
      </c>
      <c r="B9" s="43" t="s">
        <v>30</v>
      </c>
      <c r="C9" s="110" t="s">
        <v>231</v>
      </c>
      <c r="D9" s="56">
        <v>10</v>
      </c>
      <c r="E9" s="53" t="s">
        <v>7</v>
      </c>
      <c r="F9" s="56">
        <v>0</v>
      </c>
      <c r="G9" s="65"/>
      <c r="H9" s="72" t="s">
        <v>31</v>
      </c>
      <c r="I9" s="69" t="s">
        <v>192</v>
      </c>
    </row>
    <row r="10" spans="1:10" ht="30" x14ac:dyDescent="0.25">
      <c r="A10" s="47" t="s">
        <v>17</v>
      </c>
      <c r="B10" s="43" t="s">
        <v>18</v>
      </c>
      <c r="C10" s="110" t="s">
        <v>231</v>
      </c>
      <c r="D10" s="56">
        <v>8.59</v>
      </c>
      <c r="E10" s="53" t="s">
        <v>7</v>
      </c>
      <c r="F10" s="56">
        <v>0</v>
      </c>
      <c r="G10" s="65"/>
      <c r="H10" s="72" t="s">
        <v>20</v>
      </c>
      <c r="I10" s="69" t="s">
        <v>192</v>
      </c>
    </row>
    <row r="11" spans="1:10" x14ac:dyDescent="0.25">
      <c r="A11" s="47" t="s">
        <v>21</v>
      </c>
      <c r="B11" s="104" t="s">
        <v>22</v>
      </c>
      <c r="C11" s="110" t="s">
        <v>221</v>
      </c>
      <c r="D11" s="56">
        <v>13</v>
      </c>
      <c r="E11" s="53" t="s">
        <v>7</v>
      </c>
      <c r="F11" s="56">
        <f>2*0.6*0.5</f>
        <v>0.6</v>
      </c>
      <c r="G11" s="64" t="s">
        <v>149</v>
      </c>
      <c r="H11" s="72" t="s">
        <v>26</v>
      </c>
      <c r="I11" s="69"/>
    </row>
    <row r="12" spans="1:10" x14ac:dyDescent="0.25">
      <c r="A12" s="47" t="s">
        <v>24</v>
      </c>
      <c r="B12" s="104" t="s">
        <v>22</v>
      </c>
      <c r="C12" s="110" t="s">
        <v>221</v>
      </c>
      <c r="D12" s="56">
        <v>12</v>
      </c>
      <c r="E12" s="53" t="s">
        <v>7</v>
      </c>
      <c r="F12" s="56">
        <v>0</v>
      </c>
      <c r="G12" s="64"/>
      <c r="H12" s="72"/>
      <c r="I12" s="69" t="s">
        <v>23</v>
      </c>
    </row>
    <row r="13" spans="1:10" ht="30" x14ac:dyDescent="0.25">
      <c r="A13" s="47" t="s">
        <v>25</v>
      </c>
      <c r="B13" s="43" t="s">
        <v>27</v>
      </c>
      <c r="C13" s="110" t="s">
        <v>231</v>
      </c>
      <c r="D13" s="56">
        <v>9.6999999999999993</v>
      </c>
      <c r="E13" s="53" t="s">
        <v>7</v>
      </c>
      <c r="F13" s="56">
        <v>0</v>
      </c>
      <c r="G13" s="64"/>
      <c r="H13" s="72" t="s">
        <v>28</v>
      </c>
      <c r="I13" s="69" t="s">
        <v>16</v>
      </c>
    </row>
    <row r="14" spans="1:10" x14ac:dyDescent="0.25">
      <c r="A14" s="47" t="s">
        <v>32</v>
      </c>
      <c r="B14" s="104" t="s">
        <v>33</v>
      </c>
      <c r="C14" s="110" t="s">
        <v>223</v>
      </c>
      <c r="D14" s="56">
        <v>0</v>
      </c>
      <c r="E14" s="53" t="s">
        <v>7</v>
      </c>
      <c r="F14" s="62">
        <v>0</v>
      </c>
      <c r="G14" s="64"/>
      <c r="H14" s="72"/>
      <c r="I14" s="69" t="s">
        <v>238</v>
      </c>
    </row>
    <row r="15" spans="1:10" ht="15.75" thickBot="1" x14ac:dyDescent="0.3">
      <c r="A15" s="48"/>
      <c r="B15" s="51" t="s">
        <v>224</v>
      </c>
      <c r="C15" s="139" t="s">
        <v>231</v>
      </c>
      <c r="D15" s="57">
        <f>2.2*1.1</f>
        <v>2.4200000000000004</v>
      </c>
      <c r="E15" s="35"/>
      <c r="F15" s="57"/>
      <c r="G15" s="67"/>
      <c r="H15" s="73"/>
      <c r="I15" s="70"/>
    </row>
    <row r="16" spans="1:10" x14ac:dyDescent="0.25">
      <c r="A16" s="1"/>
      <c r="B16" s="136"/>
      <c r="C16" s="137"/>
      <c r="D16" s="1"/>
      <c r="F16" s="1"/>
      <c r="G16" s="1"/>
      <c r="H16" s="138"/>
    </row>
    <row r="17" spans="1:8" ht="45" x14ac:dyDescent="0.25">
      <c r="A17" s="1"/>
      <c r="B17" s="122" t="s">
        <v>231</v>
      </c>
      <c r="C17" s="121" t="s">
        <v>233</v>
      </c>
      <c r="D17" s="1"/>
      <c r="F17" s="1"/>
      <c r="G17" s="1"/>
      <c r="H17" s="138"/>
    </row>
    <row r="18" spans="1:8" ht="15.75" thickBot="1" x14ac:dyDescent="0.3">
      <c r="A18" s="1"/>
      <c r="D18" s="1"/>
      <c r="F18" s="1"/>
      <c r="G18" s="1"/>
    </row>
    <row r="19" spans="1:8" ht="105.75" thickBot="1" x14ac:dyDescent="0.3">
      <c r="A19" s="1"/>
      <c r="B19" s="124" t="s">
        <v>193</v>
      </c>
      <c r="C19" s="135" t="s">
        <v>234</v>
      </c>
      <c r="D19" s="116" t="s">
        <v>168</v>
      </c>
      <c r="E19" s="117" t="s">
        <v>237</v>
      </c>
      <c r="F19" s="1"/>
      <c r="G19" s="1"/>
    </row>
    <row r="20" spans="1:8" x14ac:dyDescent="0.25">
      <c r="A20" s="1"/>
      <c r="B20" s="144" t="s">
        <v>3</v>
      </c>
      <c r="C20" s="109" t="s">
        <v>231</v>
      </c>
      <c r="D20" s="145">
        <f>D4-F4</f>
        <v>12.9</v>
      </c>
      <c r="E20" s="148">
        <f>D20*25</f>
        <v>322.5</v>
      </c>
      <c r="F20" s="1"/>
      <c r="G20" s="1"/>
    </row>
    <row r="21" spans="1:8" x14ac:dyDescent="0.25">
      <c r="A21" s="1"/>
      <c r="B21" s="144" t="s">
        <v>7</v>
      </c>
      <c r="C21" s="110" t="s">
        <v>231</v>
      </c>
      <c r="D21" s="146">
        <f>D5-F5+D9-F9+D10-F10+D13-F13</f>
        <v>133.49</v>
      </c>
      <c r="E21" s="149">
        <f>D21*25</f>
        <v>3337.25</v>
      </c>
      <c r="F21" s="1"/>
      <c r="G21" s="1"/>
    </row>
    <row r="22" spans="1:8" x14ac:dyDescent="0.25">
      <c r="A22" s="1"/>
      <c r="B22" s="144" t="s">
        <v>7</v>
      </c>
      <c r="C22" s="152" t="s">
        <v>221</v>
      </c>
      <c r="D22" s="146">
        <f>D6-F6+D7-F7+D11-F11+D12-F12</f>
        <v>65.990000000000009</v>
      </c>
      <c r="E22" s="149">
        <f>D22*1</f>
        <v>65.990000000000009</v>
      </c>
      <c r="F22" s="1"/>
      <c r="G22" s="1"/>
    </row>
    <row r="23" spans="1:8" ht="15.75" thickBot="1" x14ac:dyDescent="0.3">
      <c r="A23" s="1"/>
      <c r="B23" s="143"/>
      <c r="C23" s="143"/>
      <c r="D23" s="147"/>
      <c r="E23" s="150"/>
      <c r="F23" s="1"/>
      <c r="G23" s="1"/>
    </row>
    <row r="24" spans="1:8" x14ac:dyDescent="0.25">
      <c r="A24" s="1"/>
      <c r="D24" s="1"/>
      <c r="E24" s="122">
        <f>SUM(E20:E23)</f>
        <v>3725.74</v>
      </c>
      <c r="F24" s="151" t="s">
        <v>239</v>
      </c>
      <c r="G24" s="1"/>
    </row>
    <row r="25" spans="1:8" x14ac:dyDescent="0.25">
      <c r="A25" s="1"/>
      <c r="D25" s="1"/>
      <c r="E25" s="1"/>
      <c r="F25" s="1"/>
      <c r="G25" s="1"/>
    </row>
    <row r="26" spans="1:8" x14ac:dyDescent="0.25">
      <c r="A26" s="1"/>
      <c r="D26" s="1"/>
      <c r="E26" s="1"/>
      <c r="F26" s="1"/>
      <c r="G26" s="1"/>
    </row>
    <row r="27" spans="1:8" x14ac:dyDescent="0.25">
      <c r="A27" s="1"/>
      <c r="D27" s="1"/>
      <c r="E27" s="1"/>
      <c r="F27" s="1"/>
      <c r="G27" s="1"/>
    </row>
    <row r="28" spans="1:8" x14ac:dyDescent="0.25">
      <c r="A28" s="1"/>
      <c r="D28" s="1"/>
      <c r="E28" s="1"/>
      <c r="F28" s="1"/>
      <c r="G28" s="1"/>
    </row>
    <row r="29" spans="1:8" x14ac:dyDescent="0.25">
      <c r="A29" s="1"/>
      <c r="D29" s="1"/>
      <c r="E29" s="1"/>
      <c r="F29" s="1"/>
      <c r="G29" s="1"/>
    </row>
    <row r="30" spans="1:8" x14ac:dyDescent="0.25">
      <c r="A30" s="1"/>
      <c r="D30" s="1"/>
      <c r="E30" s="1"/>
      <c r="F30" s="1"/>
      <c r="G30" s="1"/>
    </row>
    <row r="31" spans="1:8" x14ac:dyDescent="0.25">
      <c r="A31" s="1"/>
      <c r="D31" s="1"/>
      <c r="E31" s="1"/>
      <c r="F31" s="1"/>
      <c r="G31" s="1"/>
    </row>
    <row r="32" spans="1:8" x14ac:dyDescent="0.25">
      <c r="A32" s="1"/>
      <c r="D32" s="1"/>
      <c r="E32" s="1"/>
      <c r="F32" s="1"/>
      <c r="G32" s="1"/>
    </row>
    <row r="33" spans="1:7" x14ac:dyDescent="0.25">
      <c r="A33" s="1"/>
      <c r="D33" s="1"/>
      <c r="E33" s="1"/>
      <c r="F33" s="1"/>
      <c r="G33" s="1"/>
    </row>
    <row r="34" spans="1:7" x14ac:dyDescent="0.25">
      <c r="A34" s="1"/>
      <c r="D34" s="1"/>
      <c r="E34" s="1"/>
      <c r="F34" s="1"/>
      <c r="G34" s="1"/>
    </row>
    <row r="35" spans="1:7" x14ac:dyDescent="0.25">
      <c r="A35" s="1"/>
      <c r="D35" s="1"/>
      <c r="E35" s="1"/>
      <c r="F35" s="1"/>
      <c r="G35" s="1"/>
    </row>
    <row r="36" spans="1:7" x14ac:dyDescent="0.25">
      <c r="A36" s="1"/>
      <c r="D36" s="1"/>
      <c r="E36" s="1"/>
      <c r="F36" s="1"/>
      <c r="G36" s="1"/>
    </row>
    <row r="37" spans="1:7" x14ac:dyDescent="0.25">
      <c r="A37" s="1"/>
      <c r="D37" s="1"/>
      <c r="E37" s="1"/>
      <c r="F37" s="1"/>
      <c r="G37" s="1"/>
    </row>
    <row r="38" spans="1:7" x14ac:dyDescent="0.25">
      <c r="A38" s="1"/>
      <c r="D38" s="1"/>
      <c r="E38" s="1"/>
      <c r="F38" s="1"/>
      <c r="G38" s="1"/>
    </row>
    <row r="39" spans="1:7" x14ac:dyDescent="0.25">
      <c r="A39" s="1"/>
      <c r="D39" s="1"/>
      <c r="E39" s="1"/>
      <c r="F39" s="1"/>
      <c r="G39" s="1"/>
    </row>
    <row r="40" spans="1:7" x14ac:dyDescent="0.25">
      <c r="A40" s="1"/>
      <c r="D40" s="1"/>
      <c r="E40" s="1"/>
      <c r="F40" s="1"/>
      <c r="G40" s="1"/>
    </row>
    <row r="41" spans="1:7" x14ac:dyDescent="0.25">
      <c r="A41" s="1"/>
      <c r="D41" s="1"/>
      <c r="E41" s="1"/>
      <c r="F41" s="1"/>
      <c r="G41" s="1"/>
    </row>
    <row r="42" spans="1:7" x14ac:dyDescent="0.25">
      <c r="A42" s="1"/>
      <c r="D42" s="1"/>
      <c r="E42" s="1"/>
      <c r="F42" s="1"/>
      <c r="G42" s="1"/>
    </row>
    <row r="43" spans="1:7" x14ac:dyDescent="0.25">
      <c r="A43" s="1"/>
      <c r="D43" s="1"/>
      <c r="E43" s="1"/>
      <c r="F43" s="1"/>
      <c r="G43" s="1"/>
    </row>
    <row r="44" spans="1:7" x14ac:dyDescent="0.25">
      <c r="A44" s="1"/>
      <c r="D44" s="1"/>
      <c r="E44" s="1"/>
      <c r="F44" s="1"/>
      <c r="G44" s="1"/>
    </row>
    <row r="45" spans="1:7" x14ac:dyDescent="0.25">
      <c r="A45" s="1"/>
      <c r="D45" s="1"/>
      <c r="E45" s="1"/>
      <c r="F45" s="1"/>
      <c r="G45" s="1"/>
    </row>
    <row r="46" spans="1:7" x14ac:dyDescent="0.25">
      <c r="A46" s="1"/>
      <c r="D46" s="1"/>
      <c r="E46" s="1"/>
      <c r="F46" s="1"/>
      <c r="G46" s="1"/>
    </row>
    <row r="47" spans="1:7" x14ac:dyDescent="0.25">
      <c r="A47" s="1"/>
      <c r="D47" s="1"/>
      <c r="E47" s="1"/>
      <c r="F47" s="1"/>
      <c r="G47" s="1"/>
    </row>
    <row r="48" spans="1:7" x14ac:dyDescent="0.25">
      <c r="A48" s="1"/>
      <c r="D48" s="1"/>
      <c r="E48" s="1"/>
      <c r="F48" s="1"/>
      <c r="G48" s="1"/>
    </row>
    <row r="49" spans="1:7" x14ac:dyDescent="0.25">
      <c r="A49" s="1"/>
      <c r="D49" s="1"/>
      <c r="E49" s="1"/>
      <c r="F49" s="1"/>
      <c r="G49" s="1"/>
    </row>
    <row r="50" spans="1:7" x14ac:dyDescent="0.25">
      <c r="A50" s="1"/>
      <c r="D50" s="1"/>
      <c r="E50" s="1"/>
      <c r="F50" s="1"/>
      <c r="G50" s="1"/>
    </row>
    <row r="51" spans="1:7" x14ac:dyDescent="0.25">
      <c r="A51" s="1"/>
      <c r="D51" s="1"/>
      <c r="E51" s="1"/>
      <c r="F51" s="1"/>
      <c r="G51" s="1"/>
    </row>
    <row r="52" spans="1:7" x14ac:dyDescent="0.25">
      <c r="A52" s="1"/>
      <c r="D52" s="1"/>
      <c r="E52" s="1"/>
      <c r="F52" s="1"/>
      <c r="G52" s="1"/>
    </row>
    <row r="53" spans="1:7" x14ac:dyDescent="0.25">
      <c r="A53" s="1"/>
      <c r="D53" s="1"/>
      <c r="E53" s="1"/>
      <c r="F53" s="1"/>
      <c r="G53" s="1"/>
    </row>
    <row r="54" spans="1:7" x14ac:dyDescent="0.25">
      <c r="A54" s="1"/>
      <c r="D54" s="1"/>
      <c r="E54" s="1"/>
      <c r="F54" s="1"/>
      <c r="G54" s="1"/>
    </row>
    <row r="55" spans="1:7" x14ac:dyDescent="0.25">
      <c r="A55" s="1"/>
      <c r="D55" s="1"/>
      <c r="E55" s="1"/>
      <c r="F55" s="1"/>
      <c r="G55" s="1"/>
    </row>
    <row r="56" spans="1:7" x14ac:dyDescent="0.25">
      <c r="A56" s="1"/>
      <c r="D56" s="1"/>
      <c r="E56" s="1"/>
      <c r="F56" s="1"/>
      <c r="G56" s="1"/>
    </row>
    <row r="57" spans="1:7" x14ac:dyDescent="0.25">
      <c r="A57" s="1"/>
      <c r="D57" s="1"/>
      <c r="E57" s="1"/>
      <c r="F57" s="1"/>
      <c r="G57" s="1"/>
    </row>
    <row r="58" spans="1:7" x14ac:dyDescent="0.25">
      <c r="A58" s="1"/>
      <c r="D58" s="1"/>
      <c r="E58" s="1"/>
      <c r="F58" s="1"/>
      <c r="G58" s="1"/>
    </row>
    <row r="59" spans="1:7" x14ac:dyDescent="0.25">
      <c r="A59" s="1"/>
      <c r="D59" s="1"/>
      <c r="E59" s="1"/>
      <c r="F59" s="1"/>
      <c r="G59" s="1"/>
    </row>
    <row r="60" spans="1:7" x14ac:dyDescent="0.25">
      <c r="A60" s="1"/>
      <c r="D60" s="1"/>
      <c r="E60" s="1"/>
      <c r="F60" s="1"/>
      <c r="G60" s="1"/>
    </row>
    <row r="61" spans="1:7" x14ac:dyDescent="0.25">
      <c r="A61" s="1"/>
      <c r="D61" s="1"/>
      <c r="E61" s="1"/>
      <c r="F61" s="1"/>
      <c r="G61" s="1"/>
    </row>
    <row r="62" spans="1:7" x14ac:dyDescent="0.25">
      <c r="A62" s="1"/>
      <c r="D62" s="1"/>
      <c r="E62" s="1"/>
      <c r="F62" s="1"/>
      <c r="G62" s="1"/>
    </row>
    <row r="63" spans="1:7" x14ac:dyDescent="0.25">
      <c r="A63" s="1"/>
      <c r="D63" s="1"/>
      <c r="E63" s="1"/>
      <c r="F63" s="1"/>
      <c r="G63" s="1"/>
    </row>
    <row r="64" spans="1:7" x14ac:dyDescent="0.25">
      <c r="A64" s="1"/>
      <c r="D64" s="1"/>
      <c r="E64" s="1"/>
      <c r="F64" s="1"/>
      <c r="G64" s="1"/>
    </row>
    <row r="65" spans="1:7" x14ac:dyDescent="0.25">
      <c r="A65" s="1"/>
      <c r="D65" s="1"/>
      <c r="E65" s="1"/>
      <c r="F65" s="1"/>
      <c r="G65" s="1"/>
    </row>
    <row r="66" spans="1:7" x14ac:dyDescent="0.25">
      <c r="A66" s="1"/>
      <c r="D66" s="1"/>
      <c r="E66" s="1"/>
      <c r="F66" s="1"/>
      <c r="G66" s="1"/>
    </row>
    <row r="67" spans="1:7" x14ac:dyDescent="0.25">
      <c r="A67" s="1"/>
      <c r="D67" s="1"/>
      <c r="E67" s="1"/>
      <c r="F67" s="1"/>
      <c r="G67" s="1"/>
    </row>
    <row r="68" spans="1:7" x14ac:dyDescent="0.25">
      <c r="A68" s="1"/>
      <c r="D68" s="1"/>
      <c r="E68" s="1"/>
      <c r="F68" s="1"/>
      <c r="G68" s="1"/>
    </row>
    <row r="69" spans="1:7" x14ac:dyDescent="0.25">
      <c r="A69" s="1"/>
      <c r="D69" s="1"/>
      <c r="E69" s="1"/>
      <c r="F69" s="1"/>
      <c r="G69" s="1"/>
    </row>
    <row r="70" spans="1:7" x14ac:dyDescent="0.25">
      <c r="A70" s="1"/>
      <c r="D70" s="1"/>
      <c r="E70" s="1"/>
      <c r="F70" s="1"/>
      <c r="G70" s="1"/>
    </row>
    <row r="71" spans="1:7" x14ac:dyDescent="0.25">
      <c r="A71" s="1"/>
      <c r="D71" s="1"/>
      <c r="E71" s="1"/>
      <c r="F71" s="1"/>
      <c r="G71" s="1"/>
    </row>
    <row r="72" spans="1:7" x14ac:dyDescent="0.25">
      <c r="A72" s="1"/>
      <c r="D72" s="1"/>
      <c r="E72" s="1"/>
      <c r="F72" s="1"/>
      <c r="G72" s="1"/>
    </row>
    <row r="73" spans="1:7" x14ac:dyDescent="0.25">
      <c r="A73" s="1"/>
      <c r="D73" s="1"/>
      <c r="E73" s="1"/>
      <c r="F73" s="1"/>
      <c r="G73" s="1"/>
    </row>
    <row r="74" spans="1:7" x14ac:dyDescent="0.25">
      <c r="A74" s="1"/>
      <c r="D74" s="1"/>
      <c r="E74" s="1"/>
      <c r="F74" s="1"/>
      <c r="G74" s="1"/>
    </row>
    <row r="75" spans="1:7" x14ac:dyDescent="0.25">
      <c r="A75" s="1"/>
    </row>
    <row r="76" spans="1:7" x14ac:dyDescent="0.25">
      <c r="A76" s="1"/>
    </row>
    <row r="77" spans="1:7" x14ac:dyDescent="0.25">
      <c r="A77" s="1"/>
    </row>
    <row r="78" spans="1:7" x14ac:dyDescent="0.25">
      <c r="A78" s="1"/>
    </row>
    <row r="79" spans="1:7" x14ac:dyDescent="0.25">
      <c r="A79" s="1"/>
    </row>
    <row r="80" spans="1:7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</sheetData>
  <mergeCells count="5">
    <mergeCell ref="A1:I1"/>
    <mergeCell ref="B2:B3"/>
    <mergeCell ref="H2:H3"/>
    <mergeCell ref="I2:I3"/>
    <mergeCell ref="C2:C3"/>
  </mergeCells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FB5AD-98BE-4325-8FF7-55F9B42850DB}">
  <dimension ref="A1:K106"/>
  <sheetViews>
    <sheetView workbookViewId="0">
      <selection activeCell="C23" sqref="C23"/>
    </sheetView>
  </sheetViews>
  <sheetFormatPr defaultRowHeight="15" x14ac:dyDescent="0.25"/>
  <cols>
    <col min="1" max="1" width="15.5703125" customWidth="1"/>
    <col min="2" max="3" width="31.5703125" customWidth="1"/>
    <col min="4" max="4" width="16.28515625" customWidth="1"/>
    <col min="5" max="7" width="25.5703125" customWidth="1"/>
    <col min="8" max="8" width="10" customWidth="1"/>
    <col min="9" max="10" width="18.140625" customWidth="1"/>
    <col min="11" max="11" width="45.7109375" customWidth="1"/>
  </cols>
  <sheetData>
    <row r="1" spans="1:11" ht="15.75" thickBot="1" x14ac:dyDescent="0.3">
      <c r="A1" s="175" t="s">
        <v>55</v>
      </c>
      <c r="B1" s="176"/>
      <c r="C1" s="176"/>
      <c r="D1" s="176"/>
      <c r="E1" s="176"/>
      <c r="F1" s="176"/>
      <c r="G1" s="176"/>
      <c r="H1" s="176"/>
      <c r="I1" s="176"/>
      <c r="J1" s="176"/>
      <c r="K1" s="177"/>
    </row>
    <row r="2" spans="1:11" ht="15.75" thickBot="1" x14ac:dyDescent="0.3">
      <c r="A2" s="11" t="s">
        <v>185</v>
      </c>
      <c r="B2" s="178" t="s">
        <v>181</v>
      </c>
      <c r="C2" s="182" t="s">
        <v>217</v>
      </c>
      <c r="D2" s="11" t="s">
        <v>182</v>
      </c>
      <c r="E2" s="34" t="s">
        <v>183</v>
      </c>
      <c r="F2" s="182" t="s">
        <v>225</v>
      </c>
      <c r="G2" s="11" t="s">
        <v>189</v>
      </c>
      <c r="H2" s="187" t="s">
        <v>52</v>
      </c>
      <c r="I2" s="188"/>
      <c r="J2" s="182" t="s">
        <v>218</v>
      </c>
      <c r="K2" s="11" t="s">
        <v>177</v>
      </c>
    </row>
    <row r="3" spans="1:11" ht="15.75" thickBot="1" x14ac:dyDescent="0.3">
      <c r="A3" s="12" t="s">
        <v>186</v>
      </c>
      <c r="B3" s="179"/>
      <c r="C3" s="183"/>
      <c r="D3" s="14" t="s">
        <v>168</v>
      </c>
      <c r="E3" s="114" t="s">
        <v>184</v>
      </c>
      <c r="F3" s="183"/>
      <c r="G3" s="12"/>
      <c r="H3" s="11" t="s">
        <v>54</v>
      </c>
      <c r="I3" s="16" t="s">
        <v>168</v>
      </c>
      <c r="J3" s="183"/>
      <c r="K3" s="13"/>
    </row>
    <row r="4" spans="1:11" x14ac:dyDescent="0.25">
      <c r="A4" s="74" t="s">
        <v>37</v>
      </c>
      <c r="B4" s="50" t="s">
        <v>35</v>
      </c>
      <c r="C4" s="109" t="s">
        <v>231</v>
      </c>
      <c r="D4" s="61">
        <v>140</v>
      </c>
      <c r="E4" s="52" t="s">
        <v>36</v>
      </c>
      <c r="F4" s="45">
        <f>D4*0.2</f>
        <v>28</v>
      </c>
      <c r="G4" s="77" t="s">
        <v>201</v>
      </c>
      <c r="H4" s="58">
        <v>4</v>
      </c>
      <c r="I4" s="36">
        <v>9.1999999999999993</v>
      </c>
      <c r="J4" s="184" t="s">
        <v>226</v>
      </c>
      <c r="K4" s="68" t="s">
        <v>180</v>
      </c>
    </row>
    <row r="5" spans="1:11" x14ac:dyDescent="0.25">
      <c r="A5" s="75" t="s">
        <v>38</v>
      </c>
      <c r="B5" s="43" t="s">
        <v>48</v>
      </c>
      <c r="C5" s="118" t="s">
        <v>231</v>
      </c>
      <c r="D5" s="56">
        <v>25.6</v>
      </c>
      <c r="E5" s="53" t="s">
        <v>36</v>
      </c>
      <c r="F5" s="45">
        <f t="shared" ref="F5:F14" si="0">D5*0.2</f>
        <v>5.120000000000001</v>
      </c>
      <c r="G5" s="78" t="s">
        <v>201</v>
      </c>
      <c r="H5" s="59">
        <v>1</v>
      </c>
      <c r="I5" s="37">
        <v>2.2999999999999998</v>
      </c>
      <c r="J5" s="185"/>
      <c r="K5" s="69"/>
    </row>
    <row r="6" spans="1:11" x14ac:dyDescent="0.25">
      <c r="A6" s="75" t="s">
        <v>39</v>
      </c>
      <c r="B6" s="43" t="s">
        <v>49</v>
      </c>
      <c r="C6" s="118" t="s">
        <v>231</v>
      </c>
      <c r="D6" s="56">
        <v>74.599999999999994</v>
      </c>
      <c r="E6" s="53" t="s">
        <v>50</v>
      </c>
      <c r="F6" s="45">
        <f t="shared" si="0"/>
        <v>14.92</v>
      </c>
      <c r="G6" s="78" t="s">
        <v>201</v>
      </c>
      <c r="H6" s="59">
        <v>4</v>
      </c>
      <c r="I6" s="37">
        <v>9.1999999999999993</v>
      </c>
      <c r="J6" s="185"/>
      <c r="K6" s="69" t="s">
        <v>178</v>
      </c>
    </row>
    <row r="7" spans="1:11" x14ac:dyDescent="0.25">
      <c r="A7" s="75" t="s">
        <v>40</v>
      </c>
      <c r="B7" s="43" t="s">
        <v>51</v>
      </c>
      <c r="C7" s="118" t="s">
        <v>221</v>
      </c>
      <c r="D7" s="56">
        <v>36</v>
      </c>
      <c r="E7" s="53" t="s">
        <v>7</v>
      </c>
      <c r="F7" s="45"/>
      <c r="G7" s="78"/>
      <c r="H7" s="59">
        <v>4</v>
      </c>
      <c r="I7" s="37">
        <v>9.1999999999999993</v>
      </c>
      <c r="J7" s="185"/>
      <c r="K7" s="69" t="s">
        <v>179</v>
      </c>
    </row>
    <row r="8" spans="1:11" x14ac:dyDescent="0.25">
      <c r="A8" s="75" t="s">
        <v>41</v>
      </c>
      <c r="B8" s="43" t="s">
        <v>48</v>
      </c>
      <c r="C8" s="118" t="s">
        <v>231</v>
      </c>
      <c r="D8" s="56">
        <v>44.8</v>
      </c>
      <c r="E8" s="53" t="s">
        <v>36</v>
      </c>
      <c r="F8" s="45">
        <f t="shared" si="0"/>
        <v>8.9599999999999991</v>
      </c>
      <c r="G8" s="78" t="s">
        <v>201</v>
      </c>
      <c r="H8" s="59">
        <v>3</v>
      </c>
      <c r="I8" s="37">
        <v>6.9</v>
      </c>
      <c r="J8" s="185"/>
      <c r="K8" s="69"/>
    </row>
    <row r="9" spans="1:11" x14ac:dyDescent="0.25">
      <c r="A9" s="75" t="s">
        <v>42</v>
      </c>
      <c r="B9" s="43" t="s">
        <v>48</v>
      </c>
      <c r="C9" s="118" t="s">
        <v>231</v>
      </c>
      <c r="D9" s="56">
        <v>40.6</v>
      </c>
      <c r="E9" s="53" t="s">
        <v>36</v>
      </c>
      <c r="F9" s="45">
        <f t="shared" si="0"/>
        <v>8.120000000000001</v>
      </c>
      <c r="G9" s="78" t="s">
        <v>201</v>
      </c>
      <c r="H9" s="59">
        <v>2</v>
      </c>
      <c r="I9" s="37">
        <v>4.5999999999999996</v>
      </c>
      <c r="J9" s="185"/>
      <c r="K9" s="69"/>
    </row>
    <row r="10" spans="1:11" x14ac:dyDescent="0.25">
      <c r="A10" s="75" t="s">
        <v>43</v>
      </c>
      <c r="B10" s="43" t="s">
        <v>48</v>
      </c>
      <c r="C10" s="118" t="s">
        <v>231</v>
      </c>
      <c r="D10" s="56">
        <v>47.3</v>
      </c>
      <c r="E10" s="53" t="s">
        <v>36</v>
      </c>
      <c r="F10" s="45">
        <f t="shared" si="0"/>
        <v>9.4599999999999991</v>
      </c>
      <c r="G10" s="78" t="s">
        <v>201</v>
      </c>
      <c r="H10" s="59">
        <v>2</v>
      </c>
      <c r="I10" s="37">
        <v>4.5999999999999996</v>
      </c>
      <c r="J10" s="185"/>
      <c r="K10" s="69"/>
    </row>
    <row r="11" spans="1:11" x14ac:dyDescent="0.25">
      <c r="A11" s="75" t="s">
        <v>44</v>
      </c>
      <c r="B11" s="43" t="s">
        <v>48</v>
      </c>
      <c r="C11" s="118" t="s">
        <v>231</v>
      </c>
      <c r="D11" s="56">
        <v>31.7</v>
      </c>
      <c r="E11" s="53" t="s">
        <v>36</v>
      </c>
      <c r="F11" s="45">
        <f t="shared" si="0"/>
        <v>6.34</v>
      </c>
      <c r="G11" s="78" t="s">
        <v>201</v>
      </c>
      <c r="H11" s="59">
        <v>3</v>
      </c>
      <c r="I11" s="37">
        <v>6.9</v>
      </c>
      <c r="J11" s="185"/>
      <c r="K11" s="69"/>
    </row>
    <row r="12" spans="1:11" x14ac:dyDescent="0.25">
      <c r="A12" s="75" t="s">
        <v>45</v>
      </c>
      <c r="B12" s="43" t="s">
        <v>48</v>
      </c>
      <c r="C12" s="118" t="s">
        <v>231</v>
      </c>
      <c r="D12" s="56">
        <v>29.4</v>
      </c>
      <c r="E12" s="53" t="s">
        <v>36</v>
      </c>
      <c r="F12" s="45">
        <f t="shared" si="0"/>
        <v>5.88</v>
      </c>
      <c r="G12" s="78" t="s">
        <v>201</v>
      </c>
      <c r="H12" s="59">
        <v>1</v>
      </c>
      <c r="I12" s="37">
        <v>2.2999999999999998</v>
      </c>
      <c r="J12" s="185"/>
      <c r="K12" s="69"/>
    </row>
    <row r="13" spans="1:11" x14ac:dyDescent="0.25">
      <c r="A13" s="75" t="s">
        <v>46</v>
      </c>
      <c r="B13" s="43" t="s">
        <v>48</v>
      </c>
      <c r="C13" s="118" t="s">
        <v>231</v>
      </c>
      <c r="D13" s="56">
        <v>31.6</v>
      </c>
      <c r="E13" s="53" t="s">
        <v>36</v>
      </c>
      <c r="F13" s="45">
        <f t="shared" si="0"/>
        <v>6.32</v>
      </c>
      <c r="G13" s="78" t="s">
        <v>201</v>
      </c>
      <c r="H13" s="59">
        <v>3</v>
      </c>
      <c r="I13" s="37">
        <v>6.9</v>
      </c>
      <c r="J13" s="185"/>
      <c r="K13" s="69"/>
    </row>
    <row r="14" spans="1:11" x14ac:dyDescent="0.25">
      <c r="A14" s="75" t="s">
        <v>47</v>
      </c>
      <c r="B14" s="43" t="s">
        <v>48</v>
      </c>
      <c r="C14" s="118" t="s">
        <v>231</v>
      </c>
      <c r="D14" s="56">
        <v>48.2</v>
      </c>
      <c r="E14" s="53" t="s">
        <v>36</v>
      </c>
      <c r="F14" s="45">
        <f t="shared" si="0"/>
        <v>9.64</v>
      </c>
      <c r="G14" s="78" t="s">
        <v>201</v>
      </c>
      <c r="H14" s="59">
        <v>2</v>
      </c>
      <c r="I14" s="37">
        <v>4.5999999999999996</v>
      </c>
      <c r="J14" s="186"/>
      <c r="K14" s="69"/>
    </row>
    <row r="15" spans="1:11" ht="60.75" thickBot="1" x14ac:dyDescent="0.3">
      <c r="A15" s="120" t="s">
        <v>215</v>
      </c>
      <c r="B15" s="119" t="s">
        <v>214</v>
      </c>
      <c r="C15" s="123" t="s">
        <v>227</v>
      </c>
      <c r="D15" s="119" t="s">
        <v>232</v>
      </c>
      <c r="E15" s="35"/>
      <c r="F15" s="44"/>
      <c r="G15" s="44"/>
      <c r="H15" s="60"/>
      <c r="I15" s="38"/>
      <c r="J15" s="57"/>
      <c r="K15" s="79" t="s">
        <v>216</v>
      </c>
    </row>
    <row r="16" spans="1:11" x14ac:dyDescent="0.25">
      <c r="H16" s="1"/>
      <c r="I16" s="1"/>
      <c r="J16" s="1"/>
    </row>
    <row r="17" spans="2:10" ht="30" x14ac:dyDescent="0.25">
      <c r="B17" s="122" t="s">
        <v>231</v>
      </c>
      <c r="C17" s="121" t="s">
        <v>233</v>
      </c>
      <c r="H17" s="1"/>
      <c r="I17" s="1"/>
      <c r="J17" s="1"/>
    </row>
    <row r="18" spans="2:10" ht="15.75" thickBot="1" x14ac:dyDescent="0.3">
      <c r="H18" s="1"/>
      <c r="I18" s="1"/>
      <c r="J18" s="1"/>
    </row>
    <row r="19" spans="2:10" ht="90.75" thickBot="1" x14ac:dyDescent="0.3">
      <c r="B19" s="135" t="s">
        <v>193</v>
      </c>
      <c r="C19" s="124" t="s">
        <v>234</v>
      </c>
      <c r="D19" s="128" t="s">
        <v>168</v>
      </c>
      <c r="E19" s="133" t="s">
        <v>237</v>
      </c>
      <c r="H19" s="1"/>
      <c r="I19" s="1"/>
      <c r="J19" s="1"/>
    </row>
    <row r="20" spans="2:10" x14ac:dyDescent="0.25">
      <c r="B20" s="125" t="s">
        <v>7</v>
      </c>
      <c r="C20" s="109" t="s">
        <v>221</v>
      </c>
      <c r="D20" s="129">
        <f>D7-F7</f>
        <v>36</v>
      </c>
      <c r="E20" s="109">
        <f>D20*1</f>
        <v>36</v>
      </c>
      <c r="H20" s="1"/>
      <c r="I20" s="1"/>
      <c r="J20" s="1"/>
    </row>
    <row r="21" spans="2:10" x14ac:dyDescent="0.25">
      <c r="B21" s="126" t="s">
        <v>3</v>
      </c>
      <c r="C21" s="118" t="s">
        <v>231</v>
      </c>
      <c r="D21" s="130">
        <f>D4+D5+D8+D9+D10+D11+D12+D13+D14-F4-F5-F8-F9-F10-F11-F12-F14-F13</f>
        <v>351.36</v>
      </c>
      <c r="E21" s="110">
        <f>D21*25</f>
        <v>8784</v>
      </c>
      <c r="H21" s="1"/>
      <c r="I21" s="1"/>
      <c r="J21" s="1"/>
    </row>
    <row r="22" spans="2:10" x14ac:dyDescent="0.25">
      <c r="B22" s="127" t="s">
        <v>50</v>
      </c>
      <c r="C22" s="118" t="s">
        <v>231</v>
      </c>
      <c r="D22" s="131">
        <f>D6-F6</f>
        <v>59.679999999999993</v>
      </c>
      <c r="E22" s="110">
        <f>D22*25</f>
        <v>1491.9999999999998</v>
      </c>
      <c r="H22" s="1"/>
      <c r="I22" s="1"/>
      <c r="J22" s="1"/>
    </row>
    <row r="23" spans="2:10" ht="15.75" thickBot="1" x14ac:dyDescent="0.3">
      <c r="B23" s="76" t="s">
        <v>52</v>
      </c>
      <c r="C23" s="57" t="s">
        <v>245</v>
      </c>
      <c r="D23" s="132">
        <f>I4+I5+I6+I7+I8+I9+I10+I11+I12+I13+I14</f>
        <v>66.699999999999989</v>
      </c>
      <c r="E23" s="119"/>
      <c r="H23" s="1"/>
      <c r="I23" s="1"/>
      <c r="J23" s="1"/>
    </row>
    <row r="24" spans="2:10" x14ac:dyDescent="0.25">
      <c r="E24" s="134">
        <f>SUM(E20:E23)</f>
        <v>10312</v>
      </c>
      <c r="F24" t="s">
        <v>236</v>
      </c>
      <c r="H24" s="1"/>
      <c r="I24" s="1"/>
      <c r="J24" s="1"/>
    </row>
    <row r="25" spans="2:10" x14ac:dyDescent="0.25">
      <c r="H25" s="1"/>
      <c r="I25" s="1"/>
      <c r="J25" s="1"/>
    </row>
    <row r="26" spans="2:10" x14ac:dyDescent="0.25">
      <c r="H26" s="1"/>
      <c r="I26" s="1"/>
      <c r="J26" s="1"/>
    </row>
    <row r="27" spans="2:10" x14ac:dyDescent="0.25">
      <c r="H27" s="1"/>
      <c r="I27" s="1"/>
      <c r="J27" s="1"/>
    </row>
    <row r="28" spans="2:10" x14ac:dyDescent="0.25">
      <c r="H28" s="1"/>
      <c r="I28" s="1"/>
      <c r="J28" s="1"/>
    </row>
    <row r="29" spans="2:10" x14ac:dyDescent="0.25">
      <c r="H29" s="1"/>
      <c r="I29" s="1"/>
      <c r="J29" s="1"/>
    </row>
    <row r="30" spans="2:10" x14ac:dyDescent="0.25">
      <c r="H30" s="1"/>
      <c r="I30" s="1"/>
      <c r="J30" s="1"/>
    </row>
    <row r="31" spans="2:10" x14ac:dyDescent="0.25">
      <c r="H31" s="1"/>
      <c r="I31" s="1"/>
      <c r="J31" s="1"/>
    </row>
    <row r="32" spans="2:10" x14ac:dyDescent="0.25">
      <c r="H32" s="1"/>
      <c r="I32" s="1"/>
      <c r="J32" s="1"/>
    </row>
    <row r="33" spans="8:10" x14ac:dyDescent="0.25">
      <c r="H33" s="1"/>
      <c r="I33" s="1"/>
      <c r="J33" s="1"/>
    </row>
    <row r="34" spans="8:10" x14ac:dyDescent="0.25">
      <c r="H34" s="1"/>
      <c r="I34" s="1"/>
      <c r="J34" s="1"/>
    </row>
    <row r="35" spans="8:10" x14ac:dyDescent="0.25">
      <c r="H35" s="1"/>
      <c r="I35" s="1"/>
      <c r="J35" s="1"/>
    </row>
    <row r="36" spans="8:10" x14ac:dyDescent="0.25">
      <c r="H36" s="1"/>
      <c r="I36" s="1"/>
      <c r="J36" s="1"/>
    </row>
    <row r="37" spans="8:10" x14ac:dyDescent="0.25">
      <c r="H37" s="1"/>
      <c r="I37" s="1"/>
      <c r="J37" s="1"/>
    </row>
    <row r="38" spans="8:10" x14ac:dyDescent="0.25">
      <c r="H38" s="1"/>
      <c r="I38" s="1"/>
      <c r="J38" s="1"/>
    </row>
    <row r="39" spans="8:10" x14ac:dyDescent="0.25">
      <c r="H39" s="1"/>
      <c r="I39" s="1"/>
      <c r="J39" s="1"/>
    </row>
    <row r="40" spans="8:10" x14ac:dyDescent="0.25">
      <c r="H40" s="1"/>
      <c r="I40" s="1"/>
      <c r="J40" s="1"/>
    </row>
    <row r="41" spans="8:10" x14ac:dyDescent="0.25">
      <c r="H41" s="1"/>
      <c r="I41" s="1"/>
      <c r="J41" s="1"/>
    </row>
    <row r="42" spans="8:10" x14ac:dyDescent="0.25">
      <c r="H42" s="1"/>
      <c r="I42" s="1"/>
      <c r="J42" s="1"/>
    </row>
    <row r="43" spans="8:10" x14ac:dyDescent="0.25">
      <c r="H43" s="1"/>
      <c r="I43" s="1"/>
      <c r="J43" s="1"/>
    </row>
    <row r="44" spans="8:10" x14ac:dyDescent="0.25">
      <c r="H44" s="1"/>
      <c r="I44" s="1"/>
      <c r="J44" s="1"/>
    </row>
    <row r="45" spans="8:10" x14ac:dyDescent="0.25">
      <c r="H45" s="1"/>
      <c r="I45" s="1"/>
      <c r="J45" s="1"/>
    </row>
    <row r="46" spans="8:10" x14ac:dyDescent="0.25">
      <c r="H46" s="1"/>
      <c r="I46" s="1"/>
      <c r="J46" s="1"/>
    </row>
    <row r="47" spans="8:10" x14ac:dyDescent="0.25">
      <c r="H47" s="1"/>
      <c r="I47" s="1"/>
      <c r="J47" s="1"/>
    </row>
    <row r="48" spans="8:10" x14ac:dyDescent="0.25">
      <c r="H48" s="1"/>
      <c r="I48" s="1"/>
      <c r="J48" s="1"/>
    </row>
    <row r="49" spans="8:10" x14ac:dyDescent="0.25">
      <c r="H49" s="1"/>
      <c r="I49" s="1"/>
      <c r="J49" s="1"/>
    </row>
    <row r="50" spans="8:10" x14ac:dyDescent="0.25">
      <c r="H50" s="1"/>
      <c r="I50" s="1"/>
      <c r="J50" s="1"/>
    </row>
    <row r="51" spans="8:10" x14ac:dyDescent="0.25">
      <c r="H51" s="1"/>
      <c r="I51" s="1"/>
      <c r="J51" s="1"/>
    </row>
    <row r="52" spans="8:10" x14ac:dyDescent="0.25">
      <c r="H52" s="1"/>
      <c r="I52" s="1"/>
      <c r="J52" s="1"/>
    </row>
    <row r="53" spans="8:10" x14ac:dyDescent="0.25">
      <c r="H53" s="1"/>
      <c r="I53" s="1"/>
      <c r="J53" s="1"/>
    </row>
    <row r="54" spans="8:10" x14ac:dyDescent="0.25">
      <c r="H54" s="1"/>
      <c r="I54" s="1"/>
      <c r="J54" s="1"/>
    </row>
    <row r="55" spans="8:10" x14ac:dyDescent="0.25">
      <c r="H55" s="1"/>
      <c r="I55" s="1"/>
      <c r="J55" s="1"/>
    </row>
    <row r="56" spans="8:10" x14ac:dyDescent="0.25">
      <c r="H56" s="1"/>
      <c r="I56" s="1"/>
      <c r="J56" s="1"/>
    </row>
    <row r="57" spans="8:10" x14ac:dyDescent="0.25">
      <c r="H57" s="1"/>
      <c r="I57" s="1"/>
      <c r="J57" s="1"/>
    </row>
    <row r="58" spans="8:10" x14ac:dyDescent="0.25">
      <c r="H58" s="1"/>
      <c r="I58" s="1"/>
      <c r="J58" s="1"/>
    </row>
    <row r="59" spans="8:10" x14ac:dyDescent="0.25">
      <c r="H59" s="1"/>
      <c r="I59" s="1"/>
      <c r="J59" s="1"/>
    </row>
    <row r="60" spans="8:10" x14ac:dyDescent="0.25">
      <c r="H60" s="1"/>
      <c r="I60" s="1"/>
      <c r="J60" s="1"/>
    </row>
    <row r="61" spans="8:10" x14ac:dyDescent="0.25">
      <c r="H61" s="1"/>
      <c r="I61" s="1"/>
      <c r="J61" s="1"/>
    </row>
    <row r="62" spans="8:10" x14ac:dyDescent="0.25">
      <c r="H62" s="1"/>
      <c r="I62" s="1"/>
      <c r="J62" s="1"/>
    </row>
    <row r="63" spans="8:10" x14ac:dyDescent="0.25">
      <c r="H63" s="1"/>
      <c r="I63" s="1"/>
      <c r="J63" s="1"/>
    </row>
    <row r="64" spans="8:10" x14ac:dyDescent="0.25">
      <c r="H64" s="1"/>
      <c r="I64" s="1"/>
      <c r="J64" s="1"/>
    </row>
    <row r="65" spans="8:10" x14ac:dyDescent="0.25">
      <c r="H65" s="1"/>
      <c r="I65" s="1"/>
      <c r="J65" s="1"/>
    </row>
    <row r="66" spans="8:10" x14ac:dyDescent="0.25">
      <c r="I66" s="1"/>
      <c r="J66" s="1"/>
    </row>
    <row r="67" spans="8:10" x14ac:dyDescent="0.25">
      <c r="I67" s="1"/>
      <c r="J67" s="1"/>
    </row>
    <row r="68" spans="8:10" x14ac:dyDescent="0.25">
      <c r="I68" s="1"/>
      <c r="J68" s="1"/>
    </row>
    <row r="69" spans="8:10" x14ac:dyDescent="0.25">
      <c r="I69" s="1"/>
      <c r="J69" s="1"/>
    </row>
    <row r="70" spans="8:10" x14ac:dyDescent="0.25">
      <c r="I70" s="1"/>
      <c r="J70" s="1"/>
    </row>
    <row r="71" spans="8:10" x14ac:dyDescent="0.25">
      <c r="I71" s="1"/>
      <c r="J71" s="1"/>
    </row>
    <row r="72" spans="8:10" x14ac:dyDescent="0.25">
      <c r="I72" s="1"/>
      <c r="J72" s="1"/>
    </row>
    <row r="73" spans="8:10" x14ac:dyDescent="0.25">
      <c r="I73" s="1"/>
      <c r="J73" s="1"/>
    </row>
    <row r="74" spans="8:10" x14ac:dyDescent="0.25">
      <c r="I74" s="1"/>
      <c r="J74" s="1"/>
    </row>
    <row r="75" spans="8:10" x14ac:dyDescent="0.25">
      <c r="I75" s="1"/>
      <c r="J75" s="1"/>
    </row>
    <row r="76" spans="8:10" x14ac:dyDescent="0.25">
      <c r="I76" s="1"/>
      <c r="J76" s="1"/>
    </row>
    <row r="77" spans="8:10" x14ac:dyDescent="0.25">
      <c r="I77" s="1"/>
      <c r="J77" s="1"/>
    </row>
    <row r="78" spans="8:10" x14ac:dyDescent="0.25">
      <c r="I78" s="1"/>
      <c r="J78" s="1"/>
    </row>
    <row r="79" spans="8:10" x14ac:dyDescent="0.25">
      <c r="I79" s="1"/>
      <c r="J79" s="1"/>
    </row>
    <row r="80" spans="8:10" x14ac:dyDescent="0.25">
      <c r="I80" s="1"/>
      <c r="J80" s="1"/>
    </row>
    <row r="81" spans="9:10" x14ac:dyDescent="0.25">
      <c r="I81" s="1"/>
      <c r="J81" s="1"/>
    </row>
    <row r="82" spans="9:10" x14ac:dyDescent="0.25">
      <c r="I82" s="1"/>
      <c r="J82" s="1"/>
    </row>
    <row r="83" spans="9:10" x14ac:dyDescent="0.25">
      <c r="I83" s="1"/>
      <c r="J83" s="1"/>
    </row>
    <row r="84" spans="9:10" x14ac:dyDescent="0.25">
      <c r="I84" s="1"/>
      <c r="J84" s="1"/>
    </row>
    <row r="85" spans="9:10" x14ac:dyDescent="0.25">
      <c r="I85" s="1"/>
      <c r="J85" s="1"/>
    </row>
    <row r="86" spans="9:10" x14ac:dyDescent="0.25">
      <c r="I86" s="1"/>
      <c r="J86" s="1"/>
    </row>
    <row r="87" spans="9:10" x14ac:dyDescent="0.25">
      <c r="I87" s="1"/>
      <c r="J87" s="1"/>
    </row>
    <row r="88" spans="9:10" x14ac:dyDescent="0.25">
      <c r="I88" s="1"/>
      <c r="J88" s="1"/>
    </row>
    <row r="89" spans="9:10" x14ac:dyDescent="0.25">
      <c r="I89" s="1"/>
      <c r="J89" s="1"/>
    </row>
    <row r="90" spans="9:10" x14ac:dyDescent="0.25">
      <c r="I90" s="1"/>
      <c r="J90" s="1"/>
    </row>
    <row r="91" spans="9:10" x14ac:dyDescent="0.25">
      <c r="I91" s="1"/>
      <c r="J91" s="1"/>
    </row>
    <row r="92" spans="9:10" x14ac:dyDescent="0.25">
      <c r="I92" s="1"/>
      <c r="J92" s="1"/>
    </row>
    <row r="93" spans="9:10" x14ac:dyDescent="0.25">
      <c r="I93" s="1"/>
      <c r="J93" s="1"/>
    </row>
    <row r="94" spans="9:10" x14ac:dyDescent="0.25">
      <c r="I94" s="1"/>
      <c r="J94" s="1"/>
    </row>
    <row r="95" spans="9:10" x14ac:dyDescent="0.25">
      <c r="I95" s="1"/>
      <c r="J95" s="1"/>
    </row>
    <row r="96" spans="9:10" x14ac:dyDescent="0.25">
      <c r="I96" s="1"/>
      <c r="J96" s="1"/>
    </row>
    <row r="97" spans="9:10" x14ac:dyDescent="0.25">
      <c r="I97" s="1"/>
      <c r="J97" s="1"/>
    </row>
    <row r="98" spans="9:10" x14ac:dyDescent="0.25">
      <c r="I98" s="1"/>
      <c r="J98" s="1"/>
    </row>
    <row r="99" spans="9:10" x14ac:dyDescent="0.25">
      <c r="I99" s="1"/>
      <c r="J99" s="1"/>
    </row>
    <row r="100" spans="9:10" x14ac:dyDescent="0.25">
      <c r="I100" s="1"/>
      <c r="J100" s="1"/>
    </row>
    <row r="101" spans="9:10" x14ac:dyDescent="0.25">
      <c r="I101" s="1"/>
      <c r="J101" s="1"/>
    </row>
    <row r="102" spans="9:10" x14ac:dyDescent="0.25">
      <c r="I102" s="1"/>
      <c r="J102" s="1"/>
    </row>
    <row r="103" spans="9:10" x14ac:dyDescent="0.25">
      <c r="I103" s="1"/>
      <c r="J103" s="1"/>
    </row>
    <row r="104" spans="9:10" x14ac:dyDescent="0.25">
      <c r="I104" s="1"/>
      <c r="J104" s="1"/>
    </row>
    <row r="105" spans="9:10" x14ac:dyDescent="0.25">
      <c r="I105" s="1"/>
      <c r="J105" s="1"/>
    </row>
    <row r="106" spans="9:10" x14ac:dyDescent="0.25">
      <c r="I106" s="1"/>
      <c r="J106" s="1"/>
    </row>
  </sheetData>
  <mergeCells count="7">
    <mergeCell ref="J4:J14"/>
    <mergeCell ref="H2:I2"/>
    <mergeCell ref="A1:K1"/>
    <mergeCell ref="C2:C3"/>
    <mergeCell ref="J2:J3"/>
    <mergeCell ref="B2:B3"/>
    <mergeCell ref="F2:F3"/>
  </mergeCells>
  <phoneticPr fontId="4" type="noConversion"/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6F6A-7975-4A4B-A43F-AB2FFB951DA0}">
  <dimension ref="B1:P92"/>
  <sheetViews>
    <sheetView workbookViewId="0">
      <selection activeCell="D30" sqref="D30"/>
    </sheetView>
  </sheetViews>
  <sheetFormatPr defaultRowHeight="15" x14ac:dyDescent="0.25"/>
  <cols>
    <col min="2" max="2" width="18.140625" customWidth="1"/>
    <col min="3" max="4" width="20.7109375" customWidth="1"/>
    <col min="5" max="5" width="16" customWidth="1"/>
    <col min="6" max="6" width="25.28515625" customWidth="1"/>
    <col min="7" max="7" width="25.85546875" customWidth="1"/>
    <col min="8" max="8" width="24.85546875" customWidth="1"/>
    <col min="9" max="9" width="23.28515625" customWidth="1"/>
    <col min="10" max="10" width="16" customWidth="1"/>
    <col min="11" max="11" width="26.28515625" customWidth="1"/>
    <col min="12" max="12" width="20.7109375" customWidth="1"/>
    <col min="13" max="13" width="21.7109375" customWidth="1"/>
    <col min="14" max="14" width="13.7109375" customWidth="1"/>
    <col min="15" max="15" width="16.85546875" customWidth="1"/>
    <col min="16" max="16" width="24.42578125" customWidth="1"/>
  </cols>
  <sheetData>
    <row r="1" spans="2:16" ht="15.75" thickBot="1" x14ac:dyDescent="0.3">
      <c r="B1" s="192" t="s">
        <v>62</v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4"/>
    </row>
    <row r="2" spans="2:16" ht="45.75" thickBot="1" x14ac:dyDescent="0.3">
      <c r="B2" s="11" t="s">
        <v>174</v>
      </c>
      <c r="C2" s="178" t="s">
        <v>2</v>
      </c>
      <c r="D2" s="182" t="s">
        <v>217</v>
      </c>
      <c r="E2" s="11" t="s">
        <v>173</v>
      </c>
      <c r="F2" s="22" t="s">
        <v>56</v>
      </c>
      <c r="G2" s="23" t="s">
        <v>67</v>
      </c>
      <c r="H2" s="189" t="s">
        <v>61</v>
      </c>
      <c r="I2" s="190"/>
      <c r="J2" s="190"/>
      <c r="K2" s="190"/>
      <c r="L2" s="191"/>
      <c r="M2" s="190" t="s">
        <v>52</v>
      </c>
      <c r="N2" s="190"/>
      <c r="O2" s="182" t="s">
        <v>218</v>
      </c>
      <c r="P2" s="178" t="s">
        <v>11</v>
      </c>
    </row>
    <row r="3" spans="2:16" ht="15.75" thickBot="1" x14ac:dyDescent="0.3">
      <c r="B3" s="11" t="s">
        <v>171</v>
      </c>
      <c r="C3" s="179"/>
      <c r="D3" s="183"/>
      <c r="E3" s="20" t="s">
        <v>168</v>
      </c>
      <c r="F3" s="21" t="s">
        <v>176</v>
      </c>
      <c r="G3" s="11" t="s">
        <v>168</v>
      </c>
      <c r="H3" s="176" t="s">
        <v>175</v>
      </c>
      <c r="I3" s="176"/>
      <c r="J3" s="176"/>
      <c r="K3" s="176"/>
      <c r="L3" s="176"/>
      <c r="M3" s="11" t="s">
        <v>54</v>
      </c>
      <c r="N3" s="34" t="s">
        <v>168</v>
      </c>
      <c r="O3" s="183"/>
      <c r="P3" s="179"/>
    </row>
    <row r="4" spans="2:16" x14ac:dyDescent="0.25">
      <c r="B4" s="80" t="s">
        <v>57</v>
      </c>
      <c r="C4" s="50" t="s">
        <v>35</v>
      </c>
      <c r="D4" s="108" t="s">
        <v>240</v>
      </c>
      <c r="E4" s="61">
        <v>143</v>
      </c>
      <c r="F4" s="84" t="s">
        <v>36</v>
      </c>
      <c r="G4" s="61">
        <v>0</v>
      </c>
      <c r="H4" s="87" t="s">
        <v>64</v>
      </c>
      <c r="I4" s="28"/>
      <c r="J4" s="28"/>
      <c r="K4" s="28"/>
      <c r="L4" s="39"/>
      <c r="M4" s="98">
        <v>6</v>
      </c>
      <c r="N4" s="99">
        <v>13.8</v>
      </c>
      <c r="O4" s="184" t="s">
        <v>226</v>
      </c>
      <c r="P4" s="50"/>
    </row>
    <row r="5" spans="2:16" ht="30" x14ac:dyDescent="0.25">
      <c r="B5" s="75" t="s">
        <v>58</v>
      </c>
      <c r="C5" s="43" t="s">
        <v>59</v>
      </c>
      <c r="D5" s="97" t="s">
        <v>240</v>
      </c>
      <c r="E5" s="62">
        <v>28</v>
      </c>
      <c r="F5" s="53" t="s">
        <v>60</v>
      </c>
      <c r="G5" s="56">
        <f>2.7*0.8</f>
        <v>2.16</v>
      </c>
      <c r="H5" s="88" t="s">
        <v>204</v>
      </c>
      <c r="I5" s="25" t="s">
        <v>63</v>
      </c>
      <c r="J5" s="25" t="s">
        <v>64</v>
      </c>
      <c r="K5" s="33" t="s">
        <v>207</v>
      </c>
      <c r="L5" s="92"/>
      <c r="M5" s="31">
        <v>2</v>
      </c>
      <c r="N5" s="100">
        <v>4.5999999999999996</v>
      </c>
      <c r="O5" s="185"/>
      <c r="P5" s="43"/>
    </row>
    <row r="6" spans="2:16" ht="45" x14ac:dyDescent="0.25">
      <c r="B6" s="81" t="s">
        <v>65</v>
      </c>
      <c r="C6" s="83" t="s">
        <v>66</v>
      </c>
      <c r="D6" s="97" t="s">
        <v>240</v>
      </c>
      <c r="E6" s="86">
        <v>40.9</v>
      </c>
      <c r="F6" s="85" t="s">
        <v>60</v>
      </c>
      <c r="G6" s="86">
        <f>1.44+0.4+0.315+1.6*0.35</f>
        <v>2.7149999999999999</v>
      </c>
      <c r="H6" s="89" t="s">
        <v>68</v>
      </c>
      <c r="I6" s="32" t="s">
        <v>69</v>
      </c>
      <c r="J6" s="32" t="s">
        <v>71</v>
      </c>
      <c r="K6" s="32" t="s">
        <v>72</v>
      </c>
      <c r="L6" s="93" t="s">
        <v>205</v>
      </c>
      <c r="M6" s="101" t="s">
        <v>194</v>
      </c>
      <c r="N6" s="102">
        <f>3*2.3+2.15+1.94</f>
        <v>10.989999999999998</v>
      </c>
      <c r="O6" s="185"/>
      <c r="P6" s="83"/>
    </row>
    <row r="7" spans="2:16" ht="30" x14ac:dyDescent="0.25">
      <c r="B7" s="75" t="s">
        <v>73</v>
      </c>
      <c r="C7" s="43" t="s">
        <v>74</v>
      </c>
      <c r="D7" s="115" t="s">
        <v>228</v>
      </c>
      <c r="E7" s="56">
        <v>40.42</v>
      </c>
      <c r="F7" s="53" t="s">
        <v>60</v>
      </c>
      <c r="G7" s="56">
        <v>0</v>
      </c>
      <c r="H7" s="88" t="s">
        <v>64</v>
      </c>
      <c r="I7" s="26"/>
      <c r="J7" s="26"/>
      <c r="K7" s="26"/>
      <c r="L7" s="94"/>
      <c r="M7" s="31" t="s">
        <v>172</v>
      </c>
      <c r="N7" s="100">
        <f>4.6*3*2+8.3*3</f>
        <v>52.5</v>
      </c>
      <c r="O7" s="185"/>
      <c r="P7" s="104" t="s">
        <v>83</v>
      </c>
    </row>
    <row r="8" spans="2:16" x14ac:dyDescent="0.25">
      <c r="B8" s="75" t="s">
        <v>75</v>
      </c>
      <c r="C8" s="43" t="s">
        <v>76</v>
      </c>
      <c r="D8" s="97" t="s">
        <v>240</v>
      </c>
      <c r="E8" s="56">
        <v>23.2</v>
      </c>
      <c r="F8" s="53" t="s">
        <v>60</v>
      </c>
      <c r="G8" s="56">
        <f>1.44+0.36</f>
        <v>1.7999999999999998</v>
      </c>
      <c r="H8" s="88" t="s">
        <v>68</v>
      </c>
      <c r="I8" s="27" t="s">
        <v>69</v>
      </c>
      <c r="J8" s="27" t="s">
        <v>70</v>
      </c>
      <c r="K8" s="26"/>
      <c r="L8" s="95" t="s">
        <v>64</v>
      </c>
      <c r="M8" s="31">
        <v>3</v>
      </c>
      <c r="N8" s="100">
        <v>6.9</v>
      </c>
      <c r="O8" s="185"/>
      <c r="P8" s="43"/>
    </row>
    <row r="9" spans="2:16" x14ac:dyDescent="0.25">
      <c r="B9" s="75" t="s">
        <v>78</v>
      </c>
      <c r="C9" s="43" t="s">
        <v>76</v>
      </c>
      <c r="D9" s="97" t="s">
        <v>240</v>
      </c>
      <c r="E9" s="56">
        <v>20.12</v>
      </c>
      <c r="F9" s="53" t="s">
        <v>60</v>
      </c>
      <c r="G9" s="56">
        <f>1.44+0.36</f>
        <v>1.7999999999999998</v>
      </c>
      <c r="H9" s="88" t="s">
        <v>68</v>
      </c>
      <c r="I9" s="27" t="s">
        <v>77</v>
      </c>
      <c r="J9" s="27" t="s">
        <v>70</v>
      </c>
      <c r="K9" s="26"/>
      <c r="L9" s="95" t="s">
        <v>64</v>
      </c>
      <c r="M9" s="31">
        <v>1</v>
      </c>
      <c r="N9" s="100">
        <v>2.2999999999999998</v>
      </c>
      <c r="O9" s="185"/>
      <c r="P9" s="43"/>
    </row>
    <row r="10" spans="2:16" ht="30" x14ac:dyDescent="0.25">
      <c r="B10" s="75" t="s">
        <v>79</v>
      </c>
      <c r="C10" s="43" t="s">
        <v>81</v>
      </c>
      <c r="D10" s="115" t="s">
        <v>228</v>
      </c>
      <c r="E10" s="56">
        <v>41.85</v>
      </c>
      <c r="F10" s="53" t="s">
        <v>60</v>
      </c>
      <c r="G10" s="56">
        <f>1.08</f>
        <v>1.08</v>
      </c>
      <c r="H10" s="88" t="s">
        <v>203</v>
      </c>
      <c r="I10" s="27" t="s">
        <v>101</v>
      </c>
      <c r="J10" s="27"/>
      <c r="K10" s="27"/>
      <c r="L10" s="95"/>
      <c r="M10" s="31">
        <v>2</v>
      </c>
      <c r="N10" s="100">
        <v>4.5999999999999996</v>
      </c>
      <c r="O10" s="185"/>
      <c r="P10" s="43"/>
    </row>
    <row r="11" spans="2:16" x14ac:dyDescent="0.25">
      <c r="B11" s="75" t="s">
        <v>80</v>
      </c>
      <c r="C11" s="43" t="s">
        <v>82</v>
      </c>
      <c r="D11" s="97" t="s">
        <v>240</v>
      </c>
      <c r="E11" s="56">
        <v>45.9</v>
      </c>
      <c r="F11" s="53" t="s">
        <v>60</v>
      </c>
      <c r="G11" s="56">
        <f>2.2*0.8</f>
        <v>1.7600000000000002</v>
      </c>
      <c r="H11" s="88" t="s">
        <v>206</v>
      </c>
      <c r="I11" s="26"/>
      <c r="J11" s="26"/>
      <c r="K11" s="26"/>
      <c r="L11" s="94"/>
      <c r="M11" s="31" t="s">
        <v>195</v>
      </c>
      <c r="N11" s="100">
        <v>4.9400000000000004</v>
      </c>
      <c r="O11" s="185"/>
      <c r="P11" s="43"/>
    </row>
    <row r="12" spans="2:16" x14ac:dyDescent="0.25">
      <c r="B12" s="75" t="s">
        <v>84</v>
      </c>
      <c r="C12" s="43" t="s">
        <v>16</v>
      </c>
      <c r="D12" s="97" t="s">
        <v>240</v>
      </c>
      <c r="E12" s="56">
        <v>17.7</v>
      </c>
      <c r="F12" s="53" t="s">
        <v>7</v>
      </c>
      <c r="G12" s="56">
        <v>0</v>
      </c>
      <c r="H12" s="88" t="s">
        <v>86</v>
      </c>
      <c r="I12" s="27" t="s">
        <v>87</v>
      </c>
      <c r="J12" s="27" t="s">
        <v>88</v>
      </c>
      <c r="K12" s="27" t="s">
        <v>89</v>
      </c>
      <c r="L12" s="94"/>
      <c r="M12" s="31">
        <v>0</v>
      </c>
      <c r="N12" s="100">
        <v>0</v>
      </c>
      <c r="O12" s="185"/>
      <c r="P12" s="43" t="s">
        <v>85</v>
      </c>
    </row>
    <row r="13" spans="2:16" x14ac:dyDescent="0.25">
      <c r="B13" s="75" t="s">
        <v>92</v>
      </c>
      <c r="C13" s="43" t="s">
        <v>90</v>
      </c>
      <c r="D13" s="97" t="s">
        <v>240</v>
      </c>
      <c r="E13" s="56">
        <v>32.1</v>
      </c>
      <c r="F13" s="53" t="s">
        <v>60</v>
      </c>
      <c r="G13" s="56">
        <f>0.8*0.45*8</f>
        <v>2.8800000000000003</v>
      </c>
      <c r="H13" s="88" t="s">
        <v>103</v>
      </c>
      <c r="I13" s="27" t="s">
        <v>104</v>
      </c>
      <c r="J13" s="27" t="s">
        <v>102</v>
      </c>
      <c r="K13" s="27"/>
      <c r="L13" s="95"/>
      <c r="M13" s="31">
        <v>3</v>
      </c>
      <c r="N13" s="100">
        <v>6.9</v>
      </c>
      <c r="O13" s="185"/>
      <c r="P13" s="43"/>
    </row>
    <row r="14" spans="2:16" x14ac:dyDescent="0.25">
      <c r="B14" s="75" t="s">
        <v>93</v>
      </c>
      <c r="C14" s="43" t="s">
        <v>91</v>
      </c>
      <c r="D14" s="97" t="s">
        <v>240</v>
      </c>
      <c r="E14" s="56">
        <v>30.1</v>
      </c>
      <c r="F14" s="53" t="s">
        <v>60</v>
      </c>
      <c r="G14" s="56">
        <f>0.8*0.45*8+2*1.6*0.35</f>
        <v>4</v>
      </c>
      <c r="H14" s="88" t="s">
        <v>105</v>
      </c>
      <c r="I14" s="27" t="s">
        <v>104</v>
      </c>
      <c r="J14" s="27" t="s">
        <v>64</v>
      </c>
      <c r="K14" s="27" t="s">
        <v>208</v>
      </c>
      <c r="L14" s="94"/>
      <c r="M14" s="31">
        <v>1</v>
      </c>
      <c r="N14" s="100">
        <v>2.2999999999999998</v>
      </c>
      <c r="O14" s="185"/>
      <c r="P14" s="43"/>
    </row>
    <row r="15" spans="2:16" x14ac:dyDescent="0.25">
      <c r="B15" s="75" t="s">
        <v>94</v>
      </c>
      <c r="C15" s="43" t="s">
        <v>90</v>
      </c>
      <c r="D15" s="97" t="s">
        <v>240</v>
      </c>
      <c r="E15" s="56">
        <v>32.35</v>
      </c>
      <c r="F15" s="53" t="s">
        <v>60</v>
      </c>
      <c r="G15" s="56">
        <f>0.8*0.45*8</f>
        <v>2.8800000000000003</v>
      </c>
      <c r="H15" s="88" t="s">
        <v>106</v>
      </c>
      <c r="I15" s="27" t="s">
        <v>104</v>
      </c>
      <c r="J15" s="27" t="s">
        <v>102</v>
      </c>
      <c r="K15" s="25"/>
      <c r="L15" s="92"/>
      <c r="M15" s="31">
        <v>3</v>
      </c>
      <c r="N15" s="100">
        <v>6.9</v>
      </c>
      <c r="O15" s="185"/>
      <c r="P15" s="43"/>
    </row>
    <row r="16" spans="2:16" x14ac:dyDescent="0.25">
      <c r="B16" s="75" t="s">
        <v>95</v>
      </c>
      <c r="C16" s="43" t="s">
        <v>98</v>
      </c>
      <c r="D16" s="97" t="s">
        <v>240</v>
      </c>
      <c r="E16" s="56">
        <v>9.6</v>
      </c>
      <c r="F16" s="53" t="s">
        <v>60</v>
      </c>
      <c r="G16" s="56">
        <f>4*0.8*0.45+0.6*0.6</f>
        <v>1.8000000000000003</v>
      </c>
      <c r="H16" s="88" t="s">
        <v>209</v>
      </c>
      <c r="I16" s="27" t="s">
        <v>107</v>
      </c>
      <c r="J16" s="27" t="s">
        <v>123</v>
      </c>
      <c r="K16" s="25"/>
      <c r="L16" s="92"/>
      <c r="M16" s="103" t="s">
        <v>99</v>
      </c>
      <c r="N16" s="102">
        <f>2.3+2</f>
        <v>4.3</v>
      </c>
      <c r="O16" s="185"/>
      <c r="P16" s="43" t="s">
        <v>53</v>
      </c>
    </row>
    <row r="17" spans="2:16" x14ac:dyDescent="0.25">
      <c r="B17" s="75" t="s">
        <v>96</v>
      </c>
      <c r="C17" s="43" t="s">
        <v>100</v>
      </c>
      <c r="D17" s="97" t="s">
        <v>221</v>
      </c>
      <c r="E17" s="56">
        <v>12.2</v>
      </c>
      <c r="F17" s="53" t="s">
        <v>7</v>
      </c>
      <c r="G17" s="62">
        <v>0</v>
      </c>
      <c r="H17" s="90"/>
      <c r="I17" s="25"/>
      <c r="J17" s="25"/>
      <c r="K17" s="25"/>
      <c r="L17" s="92"/>
      <c r="M17" s="31">
        <v>0</v>
      </c>
      <c r="N17" s="100">
        <v>0</v>
      </c>
      <c r="O17" s="185"/>
      <c r="P17" s="43" t="s">
        <v>53</v>
      </c>
    </row>
    <row r="18" spans="2:16" x14ac:dyDescent="0.25">
      <c r="B18" s="75" t="s">
        <v>97</v>
      </c>
      <c r="C18" s="43" t="s">
        <v>82</v>
      </c>
      <c r="D18" s="97" t="s">
        <v>240</v>
      </c>
      <c r="E18" s="56">
        <v>53.1</v>
      </c>
      <c r="F18" s="53" t="s">
        <v>36</v>
      </c>
      <c r="G18" s="62">
        <v>0</v>
      </c>
      <c r="H18" s="90"/>
      <c r="I18" s="25"/>
      <c r="J18" s="25"/>
      <c r="K18" s="25"/>
      <c r="L18" s="92"/>
      <c r="M18" s="31">
        <v>3</v>
      </c>
      <c r="N18" s="100">
        <v>6.9</v>
      </c>
      <c r="O18" s="186"/>
      <c r="P18" s="43"/>
    </row>
    <row r="19" spans="2:16" ht="15.75" thickBot="1" x14ac:dyDescent="0.3">
      <c r="B19" s="82"/>
      <c r="C19" s="44" t="s">
        <v>202</v>
      </c>
      <c r="D19" s="153" t="s">
        <v>221</v>
      </c>
      <c r="E19" s="119">
        <f>2*3.7*2+3.7*2.1</f>
        <v>22.57</v>
      </c>
      <c r="F19" s="35"/>
      <c r="G19" s="44"/>
      <c r="H19" s="91"/>
      <c r="I19" s="29"/>
      <c r="J19" s="29"/>
      <c r="K19" s="29"/>
      <c r="L19" s="96"/>
      <c r="M19" s="8"/>
      <c r="N19" s="10"/>
      <c r="O19" s="35"/>
      <c r="P19" s="44"/>
    </row>
    <row r="20" spans="2:16" x14ac:dyDescent="0.25">
      <c r="B20" s="4"/>
      <c r="H20" s="6"/>
      <c r="I20" s="6"/>
      <c r="J20" s="6"/>
      <c r="K20" s="6"/>
      <c r="L20" s="6"/>
    </row>
    <row r="21" spans="2:16" ht="45" x14ac:dyDescent="0.25">
      <c r="B21" s="4"/>
      <c r="C21" s="122" t="s">
        <v>240</v>
      </c>
      <c r="D21" s="121" t="s">
        <v>241</v>
      </c>
      <c r="H21" s="6"/>
      <c r="I21" s="6"/>
      <c r="J21" s="6"/>
      <c r="K21" s="6"/>
      <c r="L21" s="6"/>
    </row>
    <row r="22" spans="2:16" ht="15.75" thickBot="1" x14ac:dyDescent="0.3">
      <c r="B22" s="4"/>
      <c r="H22" s="6"/>
      <c r="I22" s="6"/>
      <c r="J22" s="6"/>
      <c r="K22" s="6"/>
      <c r="L22" s="6"/>
    </row>
    <row r="23" spans="2:16" ht="75.75" thickBot="1" x14ac:dyDescent="0.3">
      <c r="B23" s="4"/>
      <c r="C23" s="124" t="s">
        <v>193</v>
      </c>
      <c r="D23" s="124" t="s">
        <v>234</v>
      </c>
      <c r="E23" s="18" t="s">
        <v>168</v>
      </c>
      <c r="F23" s="133" t="s">
        <v>235</v>
      </c>
      <c r="H23" s="6"/>
      <c r="I23" s="6"/>
      <c r="J23" s="6"/>
      <c r="K23" s="6"/>
      <c r="L23" s="6"/>
    </row>
    <row r="24" spans="2:16" ht="30" x14ac:dyDescent="0.25">
      <c r="B24" s="4"/>
      <c r="C24" s="159" t="s">
        <v>242</v>
      </c>
      <c r="D24" s="148" t="s">
        <v>240</v>
      </c>
      <c r="E24" s="155">
        <f>E4-G4+E18-G18</f>
        <v>196.1</v>
      </c>
      <c r="F24" s="109">
        <f>E24*21</f>
        <v>4118.0999999999995</v>
      </c>
      <c r="H24" s="6"/>
      <c r="I24" s="6"/>
      <c r="J24" s="6"/>
      <c r="K24" s="6"/>
      <c r="L24" s="6"/>
    </row>
    <row r="25" spans="2:16" x14ac:dyDescent="0.25">
      <c r="B25" s="4"/>
      <c r="C25" s="160" t="s">
        <v>60</v>
      </c>
      <c r="D25" s="163" t="s">
        <v>240</v>
      </c>
      <c r="E25" s="155">
        <f>E5+E8+E9+E11+E13+E14+E15+E16-G5-G8-G9-G11-G13-G14-G15-G16+E6-G6</f>
        <v>240.47499999999997</v>
      </c>
      <c r="F25" s="110">
        <f>E25*21</f>
        <v>5049.9749999999995</v>
      </c>
      <c r="H25" s="6"/>
      <c r="I25" s="6"/>
      <c r="J25" s="6"/>
      <c r="K25" s="6"/>
      <c r="L25" s="6"/>
    </row>
    <row r="26" spans="2:16" ht="30" x14ac:dyDescent="0.25">
      <c r="B26" s="4"/>
      <c r="C26" s="160" t="s">
        <v>60</v>
      </c>
      <c r="D26" s="164" t="s">
        <v>228</v>
      </c>
      <c r="E26" s="155">
        <f>E7-G7+E10-G10</f>
        <v>81.190000000000012</v>
      </c>
      <c r="F26" s="110">
        <f>E26*4</f>
        <v>324.76000000000005</v>
      </c>
      <c r="H26" s="6"/>
      <c r="I26" s="6"/>
      <c r="J26" s="6"/>
      <c r="K26" s="6"/>
      <c r="L26" s="6"/>
    </row>
    <row r="27" spans="2:16" x14ac:dyDescent="0.25">
      <c r="B27" s="4"/>
      <c r="C27" s="161" t="s">
        <v>7</v>
      </c>
      <c r="D27" s="165" t="s">
        <v>240</v>
      </c>
      <c r="E27" s="156">
        <f>E12-G12</f>
        <v>17.7</v>
      </c>
      <c r="F27" s="110">
        <f>E27*21</f>
        <v>371.7</v>
      </c>
      <c r="H27" s="6"/>
      <c r="I27" s="6"/>
      <c r="J27" s="6"/>
      <c r="K27" s="6"/>
      <c r="L27" s="6"/>
    </row>
    <row r="28" spans="2:16" x14ac:dyDescent="0.25">
      <c r="B28" s="4"/>
      <c r="C28" s="161" t="s">
        <v>7</v>
      </c>
      <c r="D28" s="165" t="s">
        <v>221</v>
      </c>
      <c r="E28" s="156">
        <f>E17-G17</f>
        <v>12.2</v>
      </c>
      <c r="F28" s="110">
        <f>12.2*1</f>
        <v>12.2</v>
      </c>
      <c r="H28" s="6"/>
      <c r="I28" s="6"/>
      <c r="J28" s="6"/>
      <c r="K28" s="6"/>
      <c r="L28" s="6"/>
    </row>
    <row r="29" spans="2:16" x14ac:dyDescent="0.25">
      <c r="B29" s="4"/>
      <c r="C29" s="162" t="s">
        <v>172</v>
      </c>
      <c r="D29" s="166"/>
      <c r="E29" s="157"/>
      <c r="F29" s="110"/>
      <c r="H29" s="6"/>
      <c r="I29" s="6"/>
      <c r="J29" s="6"/>
      <c r="K29" s="6"/>
      <c r="L29" s="6"/>
    </row>
    <row r="30" spans="2:16" ht="15.75" thickBot="1" x14ac:dyDescent="0.3">
      <c r="C30" s="120" t="s">
        <v>243</v>
      </c>
      <c r="D30" s="119" t="s">
        <v>244</v>
      </c>
      <c r="E30" s="158">
        <f>N4+N5+N6+N7+N8+N9+N10+N11+N12+N13+N14+N15+N16+N17+N18</f>
        <v>127.93</v>
      </c>
      <c r="F30" s="119"/>
      <c r="H30" s="6"/>
      <c r="I30" s="6"/>
      <c r="J30" s="6"/>
      <c r="K30" s="6"/>
      <c r="L30" s="6"/>
    </row>
    <row r="31" spans="2:16" x14ac:dyDescent="0.25">
      <c r="F31">
        <f>SUM(F24:F30)</f>
        <v>9876.7350000000006</v>
      </c>
      <c r="G31" s="151" t="s">
        <v>239</v>
      </c>
      <c r="H31" s="6"/>
      <c r="I31" s="6"/>
      <c r="J31" s="6"/>
      <c r="K31" s="6"/>
      <c r="L31" s="6"/>
    </row>
    <row r="32" spans="2:16" x14ac:dyDescent="0.25">
      <c r="H32" s="6"/>
      <c r="I32" s="6"/>
      <c r="J32" s="6"/>
      <c r="K32" s="6"/>
      <c r="L32" s="6"/>
    </row>
    <row r="33" spans="8:12" x14ac:dyDescent="0.25">
      <c r="H33" s="6"/>
      <c r="I33" s="6"/>
      <c r="J33" s="6"/>
      <c r="K33" s="6"/>
      <c r="L33" s="6"/>
    </row>
    <row r="34" spans="8:12" x14ac:dyDescent="0.25">
      <c r="H34" s="6"/>
      <c r="I34" s="6"/>
      <c r="J34" s="6"/>
      <c r="K34" s="6"/>
      <c r="L34" s="6"/>
    </row>
    <row r="35" spans="8:12" x14ac:dyDescent="0.25">
      <c r="H35" s="6"/>
      <c r="I35" s="6"/>
      <c r="J35" s="6"/>
      <c r="K35" s="6"/>
      <c r="L35" s="6"/>
    </row>
    <row r="36" spans="8:12" x14ac:dyDescent="0.25">
      <c r="H36" s="6"/>
      <c r="I36" s="6"/>
      <c r="J36" s="6"/>
      <c r="K36" s="6"/>
      <c r="L36" s="6"/>
    </row>
    <row r="37" spans="8:12" x14ac:dyDescent="0.25">
      <c r="H37" s="6"/>
      <c r="I37" s="6"/>
      <c r="J37" s="6"/>
      <c r="K37" s="6"/>
      <c r="L37" s="6"/>
    </row>
    <row r="38" spans="8:12" x14ac:dyDescent="0.25">
      <c r="H38" s="6"/>
      <c r="I38" s="6"/>
      <c r="J38" s="6"/>
      <c r="K38" s="6"/>
      <c r="L38" s="6"/>
    </row>
    <row r="39" spans="8:12" x14ac:dyDescent="0.25">
      <c r="H39" s="6"/>
      <c r="I39" s="6"/>
      <c r="J39" s="6"/>
      <c r="K39" s="6"/>
      <c r="L39" s="6"/>
    </row>
    <row r="40" spans="8:12" x14ac:dyDescent="0.25">
      <c r="H40" s="6"/>
      <c r="I40" s="6"/>
      <c r="J40" s="6"/>
      <c r="K40" s="6"/>
      <c r="L40" s="6"/>
    </row>
    <row r="41" spans="8:12" x14ac:dyDescent="0.25">
      <c r="H41" s="6"/>
      <c r="I41" s="6"/>
      <c r="J41" s="6"/>
      <c r="K41" s="6"/>
      <c r="L41" s="6"/>
    </row>
    <row r="42" spans="8:12" x14ac:dyDescent="0.25">
      <c r="H42" s="6"/>
      <c r="I42" s="6"/>
      <c r="J42" s="6"/>
      <c r="K42" s="6"/>
      <c r="L42" s="6"/>
    </row>
    <row r="43" spans="8:12" x14ac:dyDescent="0.25">
      <c r="H43" s="6"/>
      <c r="I43" s="6"/>
      <c r="J43" s="6"/>
      <c r="K43" s="6"/>
      <c r="L43" s="6"/>
    </row>
    <row r="44" spans="8:12" x14ac:dyDescent="0.25">
      <c r="H44" s="6"/>
      <c r="I44" s="6"/>
      <c r="J44" s="6"/>
      <c r="K44" s="6"/>
      <c r="L44" s="6"/>
    </row>
    <row r="45" spans="8:12" x14ac:dyDescent="0.25">
      <c r="H45" s="6"/>
      <c r="I45" s="6"/>
      <c r="J45" s="6"/>
      <c r="K45" s="6"/>
      <c r="L45" s="6"/>
    </row>
    <row r="46" spans="8:12" x14ac:dyDescent="0.25">
      <c r="H46" s="6"/>
      <c r="I46" s="6"/>
      <c r="J46" s="6"/>
      <c r="K46" s="6"/>
      <c r="L46" s="6"/>
    </row>
    <row r="47" spans="8:12" x14ac:dyDescent="0.25">
      <c r="H47" s="6"/>
      <c r="I47" s="6"/>
      <c r="J47" s="6"/>
      <c r="K47" s="6"/>
      <c r="L47" s="6"/>
    </row>
    <row r="48" spans="8:12" x14ac:dyDescent="0.25">
      <c r="H48" s="6"/>
      <c r="I48" s="6"/>
      <c r="J48" s="6"/>
      <c r="K48" s="6"/>
      <c r="L48" s="6"/>
    </row>
    <row r="49" spans="8:12" x14ac:dyDescent="0.25">
      <c r="H49" s="6"/>
      <c r="I49" s="6"/>
      <c r="J49" s="6"/>
      <c r="K49" s="6"/>
      <c r="L49" s="6"/>
    </row>
    <row r="50" spans="8:12" x14ac:dyDescent="0.25">
      <c r="H50" s="6"/>
      <c r="I50" s="6"/>
      <c r="J50" s="6"/>
      <c r="K50" s="6"/>
      <c r="L50" s="6"/>
    </row>
    <row r="51" spans="8:12" x14ac:dyDescent="0.25">
      <c r="H51" s="6"/>
      <c r="I51" s="6"/>
      <c r="J51" s="6"/>
      <c r="K51" s="6"/>
      <c r="L51" s="6"/>
    </row>
    <row r="52" spans="8:12" x14ac:dyDescent="0.25">
      <c r="H52" s="6"/>
      <c r="I52" s="6"/>
      <c r="J52" s="6"/>
      <c r="K52" s="6"/>
      <c r="L52" s="6"/>
    </row>
    <row r="53" spans="8:12" x14ac:dyDescent="0.25">
      <c r="H53" s="6"/>
      <c r="I53" s="6"/>
      <c r="J53" s="6"/>
      <c r="K53" s="6"/>
      <c r="L53" s="6"/>
    </row>
    <row r="54" spans="8:12" x14ac:dyDescent="0.25">
      <c r="H54" s="6"/>
      <c r="I54" s="6"/>
      <c r="J54" s="6"/>
      <c r="K54" s="6"/>
      <c r="L54" s="6"/>
    </row>
    <row r="55" spans="8:12" x14ac:dyDescent="0.25">
      <c r="H55" s="6"/>
      <c r="I55" s="6"/>
      <c r="J55" s="6"/>
      <c r="K55" s="6"/>
      <c r="L55" s="6"/>
    </row>
    <row r="56" spans="8:12" x14ac:dyDescent="0.25">
      <c r="H56" s="6"/>
      <c r="I56" s="6"/>
      <c r="J56" s="6"/>
      <c r="K56" s="6"/>
      <c r="L56" s="6"/>
    </row>
    <row r="57" spans="8:12" x14ac:dyDescent="0.25">
      <c r="H57" s="6"/>
      <c r="I57" s="6"/>
      <c r="J57" s="6"/>
      <c r="K57" s="6"/>
      <c r="L57" s="6"/>
    </row>
    <row r="58" spans="8:12" x14ac:dyDescent="0.25">
      <c r="H58" s="6"/>
      <c r="I58" s="6"/>
      <c r="J58" s="6"/>
      <c r="K58" s="6"/>
      <c r="L58" s="6"/>
    </row>
    <row r="59" spans="8:12" x14ac:dyDescent="0.25">
      <c r="H59" s="6"/>
      <c r="I59" s="6"/>
      <c r="J59" s="6"/>
      <c r="K59" s="6"/>
      <c r="L59" s="6"/>
    </row>
    <row r="60" spans="8:12" x14ac:dyDescent="0.25">
      <c r="H60" s="6"/>
      <c r="I60" s="6"/>
      <c r="J60" s="6"/>
      <c r="K60" s="6"/>
      <c r="L60" s="6"/>
    </row>
    <row r="61" spans="8:12" x14ac:dyDescent="0.25">
      <c r="H61" s="6"/>
      <c r="I61" s="6"/>
      <c r="J61" s="6"/>
      <c r="K61" s="6"/>
      <c r="L61" s="6"/>
    </row>
    <row r="62" spans="8:12" x14ac:dyDescent="0.25">
      <c r="H62" s="6"/>
      <c r="I62" s="6"/>
      <c r="J62" s="6"/>
      <c r="K62" s="6"/>
      <c r="L62" s="6"/>
    </row>
    <row r="63" spans="8:12" x14ac:dyDescent="0.25">
      <c r="H63" s="6"/>
      <c r="I63" s="6"/>
      <c r="J63" s="6"/>
      <c r="K63" s="6"/>
      <c r="L63" s="6"/>
    </row>
    <row r="64" spans="8:12" x14ac:dyDescent="0.25">
      <c r="H64" s="6"/>
      <c r="I64" s="6"/>
      <c r="J64" s="6"/>
      <c r="K64" s="6"/>
      <c r="L64" s="6"/>
    </row>
    <row r="65" spans="8:12" x14ac:dyDescent="0.25">
      <c r="H65" s="6"/>
      <c r="I65" s="6"/>
      <c r="J65" s="6"/>
      <c r="K65" s="6"/>
      <c r="L65" s="6"/>
    </row>
    <row r="66" spans="8:12" x14ac:dyDescent="0.25">
      <c r="H66" s="6"/>
      <c r="I66" s="6"/>
      <c r="J66" s="6"/>
      <c r="K66" s="6"/>
      <c r="L66" s="6"/>
    </row>
    <row r="67" spans="8:12" x14ac:dyDescent="0.25">
      <c r="H67" s="6"/>
      <c r="I67" s="6"/>
      <c r="J67" s="6"/>
      <c r="K67" s="6"/>
      <c r="L67" s="6"/>
    </row>
    <row r="68" spans="8:12" x14ac:dyDescent="0.25">
      <c r="H68" s="6"/>
      <c r="I68" s="6"/>
      <c r="J68" s="6"/>
      <c r="K68" s="6"/>
      <c r="L68" s="6"/>
    </row>
    <row r="69" spans="8:12" x14ac:dyDescent="0.25">
      <c r="H69" s="6"/>
      <c r="I69" s="6"/>
      <c r="J69" s="6"/>
      <c r="K69" s="6"/>
      <c r="L69" s="6"/>
    </row>
    <row r="70" spans="8:12" x14ac:dyDescent="0.25">
      <c r="H70" s="6"/>
      <c r="I70" s="6"/>
      <c r="J70" s="6"/>
      <c r="K70" s="6"/>
      <c r="L70" s="6"/>
    </row>
    <row r="71" spans="8:12" x14ac:dyDescent="0.25">
      <c r="H71" s="6"/>
      <c r="I71" s="6"/>
      <c r="J71" s="6"/>
      <c r="K71" s="6"/>
      <c r="L71" s="6"/>
    </row>
    <row r="72" spans="8:12" x14ac:dyDescent="0.25">
      <c r="H72" s="6"/>
      <c r="I72" s="6"/>
      <c r="J72" s="6"/>
      <c r="K72" s="6"/>
      <c r="L72" s="6"/>
    </row>
    <row r="73" spans="8:12" x14ac:dyDescent="0.25">
      <c r="H73" s="6"/>
      <c r="I73" s="6"/>
      <c r="J73" s="6"/>
      <c r="K73" s="6"/>
      <c r="L73" s="6"/>
    </row>
    <row r="74" spans="8:12" x14ac:dyDescent="0.25">
      <c r="H74" s="6"/>
      <c r="I74" s="6"/>
      <c r="J74" s="6"/>
      <c r="K74" s="6"/>
      <c r="L74" s="6"/>
    </row>
    <row r="75" spans="8:12" x14ac:dyDescent="0.25">
      <c r="H75" s="6"/>
      <c r="I75" s="6"/>
      <c r="J75" s="6"/>
      <c r="K75" s="6"/>
      <c r="L75" s="6"/>
    </row>
    <row r="76" spans="8:12" x14ac:dyDescent="0.25">
      <c r="H76" s="6"/>
      <c r="I76" s="6"/>
      <c r="J76" s="6"/>
      <c r="K76" s="6"/>
      <c r="L76" s="6"/>
    </row>
    <row r="77" spans="8:12" x14ac:dyDescent="0.25">
      <c r="H77" s="6"/>
      <c r="I77" s="6"/>
      <c r="J77" s="6"/>
      <c r="K77" s="6"/>
      <c r="L77" s="6"/>
    </row>
    <row r="78" spans="8:12" x14ac:dyDescent="0.25">
      <c r="H78" s="6"/>
      <c r="I78" s="6"/>
      <c r="J78" s="6"/>
      <c r="K78" s="6"/>
      <c r="L78" s="6"/>
    </row>
    <row r="79" spans="8:12" x14ac:dyDescent="0.25">
      <c r="H79" s="6"/>
      <c r="I79" s="6"/>
      <c r="J79" s="6"/>
      <c r="K79" s="6"/>
      <c r="L79" s="6"/>
    </row>
    <row r="80" spans="8:12" x14ac:dyDescent="0.25">
      <c r="H80" s="6"/>
      <c r="I80" s="6"/>
      <c r="J80" s="6"/>
      <c r="K80" s="6"/>
      <c r="L80" s="6"/>
    </row>
    <row r="81" spans="8:12" x14ac:dyDescent="0.25">
      <c r="H81" s="6"/>
      <c r="I81" s="6"/>
      <c r="J81" s="6"/>
      <c r="K81" s="6"/>
      <c r="L81" s="6"/>
    </row>
    <row r="82" spans="8:12" x14ac:dyDescent="0.25">
      <c r="H82" s="6"/>
      <c r="I82" s="6"/>
      <c r="J82" s="6"/>
      <c r="K82" s="6"/>
      <c r="L82" s="6"/>
    </row>
    <row r="83" spans="8:12" x14ac:dyDescent="0.25">
      <c r="H83" s="6"/>
      <c r="I83" s="6"/>
      <c r="J83" s="6"/>
      <c r="K83" s="6"/>
      <c r="L83" s="6"/>
    </row>
    <row r="84" spans="8:12" x14ac:dyDescent="0.25">
      <c r="H84" s="6"/>
      <c r="I84" s="6"/>
      <c r="J84" s="6"/>
      <c r="K84" s="6"/>
      <c r="L84" s="6"/>
    </row>
    <row r="85" spans="8:12" x14ac:dyDescent="0.25">
      <c r="H85" s="6"/>
      <c r="I85" s="6"/>
      <c r="J85" s="6"/>
      <c r="K85" s="6"/>
      <c r="L85" s="6"/>
    </row>
    <row r="86" spans="8:12" x14ac:dyDescent="0.25">
      <c r="H86" s="6"/>
      <c r="I86" s="6"/>
      <c r="J86" s="6"/>
      <c r="K86" s="6"/>
      <c r="L86" s="6"/>
    </row>
    <row r="87" spans="8:12" x14ac:dyDescent="0.25">
      <c r="H87" s="6"/>
      <c r="I87" s="6"/>
      <c r="J87" s="6"/>
      <c r="K87" s="6"/>
      <c r="L87" s="6"/>
    </row>
    <row r="88" spans="8:12" x14ac:dyDescent="0.25">
      <c r="H88" s="6"/>
      <c r="I88" s="6"/>
      <c r="J88" s="6"/>
      <c r="K88" s="6"/>
      <c r="L88" s="6"/>
    </row>
    <row r="89" spans="8:12" x14ac:dyDescent="0.25">
      <c r="H89" s="6"/>
      <c r="I89" s="6"/>
      <c r="J89" s="6"/>
      <c r="K89" s="6"/>
      <c r="L89" s="6"/>
    </row>
    <row r="90" spans="8:12" x14ac:dyDescent="0.25">
      <c r="H90" s="6"/>
      <c r="I90" s="6"/>
      <c r="J90" s="6"/>
      <c r="K90" s="6"/>
      <c r="L90" s="6"/>
    </row>
    <row r="91" spans="8:12" x14ac:dyDescent="0.25">
      <c r="H91" s="6"/>
      <c r="I91" s="6"/>
      <c r="J91" s="6"/>
      <c r="K91" s="6"/>
      <c r="L91" s="6"/>
    </row>
    <row r="92" spans="8:12" x14ac:dyDescent="0.25">
      <c r="H92" s="6"/>
      <c r="I92" s="6"/>
      <c r="J92" s="6"/>
      <c r="K92" s="6"/>
      <c r="L92" s="6"/>
    </row>
  </sheetData>
  <mergeCells count="9">
    <mergeCell ref="O4:O18"/>
    <mergeCell ref="H2:L2"/>
    <mergeCell ref="M2:N2"/>
    <mergeCell ref="H3:L3"/>
    <mergeCell ref="B1:P1"/>
    <mergeCell ref="O2:O3"/>
    <mergeCell ref="D2:D3"/>
    <mergeCell ref="C2:C3"/>
    <mergeCell ref="P2:P3"/>
  </mergeCells>
  <phoneticPr fontId="4" type="noConversion"/>
  <pageMargins left="0.7" right="0.7" top="0.75" bottom="0.75" header="0.3" footer="0.3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A47EE-44C7-49D0-A0F9-2723F5834966}">
  <dimension ref="B1:Q33"/>
  <sheetViews>
    <sheetView zoomScaleNormal="100" workbookViewId="0">
      <selection activeCell="E32" sqref="E32"/>
    </sheetView>
  </sheetViews>
  <sheetFormatPr defaultRowHeight="15" x14ac:dyDescent="0.25"/>
  <cols>
    <col min="2" max="2" width="25.28515625" customWidth="1"/>
    <col min="3" max="4" width="22.28515625" customWidth="1"/>
    <col min="5" max="5" width="16.7109375" customWidth="1"/>
    <col min="6" max="6" width="27.7109375" customWidth="1"/>
    <col min="7" max="7" width="28.140625" customWidth="1"/>
    <col min="8" max="8" width="26.28515625" customWidth="1"/>
    <col min="9" max="9" width="17.7109375" customWidth="1"/>
    <col min="10" max="10" width="23" customWidth="1"/>
    <col min="11" max="11" width="26.42578125" customWidth="1"/>
    <col min="12" max="12" width="25.7109375" customWidth="1"/>
    <col min="13" max="13" width="23.28515625" customWidth="1"/>
    <col min="14" max="14" width="12.28515625" customWidth="1"/>
    <col min="15" max="15" width="19.42578125" customWidth="1"/>
    <col min="16" max="16" width="15.42578125" customWidth="1"/>
    <col min="17" max="17" width="21.28515625" customWidth="1"/>
  </cols>
  <sheetData>
    <row r="1" spans="2:17" ht="15.75" thickBot="1" x14ac:dyDescent="0.3"/>
    <row r="2" spans="2:17" ht="15.75" thickBot="1" x14ac:dyDescent="0.3">
      <c r="B2" s="175" t="s">
        <v>108</v>
      </c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7"/>
    </row>
    <row r="3" spans="2:17" ht="45.75" thickBot="1" x14ac:dyDescent="0.3">
      <c r="B3" s="11" t="s">
        <v>198</v>
      </c>
      <c r="C3" s="178" t="s">
        <v>2</v>
      </c>
      <c r="D3" s="182" t="s">
        <v>217</v>
      </c>
      <c r="E3" s="11" t="s">
        <v>1</v>
      </c>
      <c r="F3" s="11" t="s">
        <v>169</v>
      </c>
      <c r="G3" s="23" t="s">
        <v>219</v>
      </c>
      <c r="H3" s="195" t="s">
        <v>61</v>
      </c>
      <c r="I3" s="196"/>
      <c r="J3" s="196"/>
      <c r="K3" s="196"/>
      <c r="L3" s="197"/>
      <c r="M3" s="189" t="s">
        <v>213</v>
      </c>
      <c r="N3" s="191"/>
      <c r="O3" s="182" t="s">
        <v>218</v>
      </c>
      <c r="P3" s="15" t="s">
        <v>200</v>
      </c>
      <c r="Q3" s="197" t="s">
        <v>11</v>
      </c>
    </row>
    <row r="4" spans="2:17" ht="22.9" customHeight="1" thickBot="1" x14ac:dyDescent="0.3">
      <c r="B4" s="24" t="s">
        <v>171</v>
      </c>
      <c r="C4" s="179"/>
      <c r="D4" s="183"/>
      <c r="E4" s="24" t="s">
        <v>168</v>
      </c>
      <c r="F4" s="24" t="s">
        <v>170</v>
      </c>
      <c r="G4" s="24" t="s">
        <v>168</v>
      </c>
      <c r="H4" s="198"/>
      <c r="I4" s="199"/>
      <c r="J4" s="199"/>
      <c r="K4" s="199"/>
      <c r="L4" s="200"/>
      <c r="M4" s="30" t="s">
        <v>54</v>
      </c>
      <c r="N4" s="30" t="s">
        <v>168</v>
      </c>
      <c r="O4" s="183"/>
      <c r="P4" s="30" t="s">
        <v>168</v>
      </c>
      <c r="Q4" s="200"/>
    </row>
    <row r="5" spans="2:17" x14ac:dyDescent="0.25">
      <c r="B5" s="80" t="s">
        <v>109</v>
      </c>
      <c r="C5" s="50" t="s">
        <v>35</v>
      </c>
      <c r="D5" s="108" t="s">
        <v>240</v>
      </c>
      <c r="E5" s="61">
        <v>201</v>
      </c>
      <c r="F5" s="84" t="s">
        <v>36</v>
      </c>
      <c r="G5" s="61">
        <v>0</v>
      </c>
      <c r="H5" s="87" t="s">
        <v>64</v>
      </c>
      <c r="I5" s="28"/>
      <c r="J5" s="28"/>
      <c r="K5" s="28"/>
      <c r="L5" s="39"/>
      <c r="M5" s="98">
        <v>6</v>
      </c>
      <c r="N5" s="99">
        <v>13.8</v>
      </c>
      <c r="O5" s="184" t="s">
        <v>226</v>
      </c>
      <c r="P5" s="109">
        <v>0</v>
      </c>
      <c r="Q5" s="50"/>
    </row>
    <row r="6" spans="2:17" x14ac:dyDescent="0.25">
      <c r="B6" s="75" t="s">
        <v>110</v>
      </c>
      <c r="C6" s="43" t="s">
        <v>82</v>
      </c>
      <c r="D6" s="97" t="s">
        <v>240</v>
      </c>
      <c r="E6" s="62">
        <v>40</v>
      </c>
      <c r="F6" s="53" t="s">
        <v>36</v>
      </c>
      <c r="G6" s="56">
        <v>0</v>
      </c>
      <c r="H6" s="105"/>
      <c r="I6" s="25"/>
      <c r="J6" s="25"/>
      <c r="K6" s="26"/>
      <c r="L6" s="92"/>
      <c r="M6" s="31">
        <v>1</v>
      </c>
      <c r="N6" s="100">
        <v>2.2999999999999998</v>
      </c>
      <c r="O6" s="185"/>
      <c r="P6" s="110">
        <v>0</v>
      </c>
      <c r="Q6" s="43"/>
    </row>
    <row r="7" spans="2:17" x14ac:dyDescent="0.25">
      <c r="B7" s="75" t="s">
        <v>111</v>
      </c>
      <c r="C7" s="43" t="s">
        <v>229</v>
      </c>
      <c r="D7" s="97" t="s">
        <v>223</v>
      </c>
      <c r="E7" s="56"/>
      <c r="F7" s="53"/>
      <c r="G7" s="56"/>
      <c r="H7" s="88"/>
      <c r="I7" s="27"/>
      <c r="J7" s="27"/>
      <c r="K7" s="27"/>
      <c r="L7" s="94"/>
      <c r="M7" s="31"/>
      <c r="N7" s="100"/>
      <c r="O7" s="185"/>
      <c r="P7" s="110"/>
      <c r="Q7" s="111" t="s">
        <v>53</v>
      </c>
    </row>
    <row r="8" spans="2:17" x14ac:dyDescent="0.25">
      <c r="B8" s="75" t="s">
        <v>112</v>
      </c>
      <c r="C8" s="43" t="s">
        <v>90</v>
      </c>
      <c r="D8" s="97" t="s">
        <v>240</v>
      </c>
      <c r="E8" s="56">
        <v>14.2</v>
      </c>
      <c r="F8" s="53" t="s">
        <v>60</v>
      </c>
      <c r="G8" s="56">
        <f>3*0.8*0.45</f>
        <v>1.0800000000000003</v>
      </c>
      <c r="H8" s="88" t="s">
        <v>122</v>
      </c>
      <c r="I8" s="27" t="s">
        <v>124</v>
      </c>
      <c r="J8" s="26"/>
      <c r="K8" s="26"/>
      <c r="L8" s="94"/>
      <c r="M8" s="31">
        <v>1</v>
      </c>
      <c r="N8" s="100">
        <v>2.2999999999999998</v>
      </c>
      <c r="O8" s="185"/>
      <c r="P8" s="110">
        <v>0</v>
      </c>
      <c r="Q8" s="111" t="s">
        <v>53</v>
      </c>
    </row>
    <row r="9" spans="2:17" x14ac:dyDescent="0.25">
      <c r="B9" s="75" t="s">
        <v>113</v>
      </c>
      <c r="C9" s="43" t="s">
        <v>90</v>
      </c>
      <c r="D9" s="97" t="s">
        <v>240</v>
      </c>
      <c r="E9" s="56">
        <v>14</v>
      </c>
      <c r="F9" s="53" t="s">
        <v>60</v>
      </c>
      <c r="G9" s="56">
        <f>4*0.8*0.45+1*0.6*0.45</f>
        <v>1.7100000000000002</v>
      </c>
      <c r="H9" s="88" t="s">
        <v>123</v>
      </c>
      <c r="I9" s="27" t="s">
        <v>126</v>
      </c>
      <c r="J9" s="27" t="s">
        <v>125</v>
      </c>
      <c r="K9" s="26"/>
      <c r="L9" s="95"/>
      <c r="M9" s="31">
        <v>1</v>
      </c>
      <c r="N9" s="100">
        <v>2.2999999999999998</v>
      </c>
      <c r="O9" s="185"/>
      <c r="P9" s="110">
        <v>0</v>
      </c>
      <c r="Q9" s="43"/>
    </row>
    <row r="10" spans="2:17" x14ac:dyDescent="0.25">
      <c r="B10" s="75" t="s">
        <v>114</v>
      </c>
      <c r="C10" s="43" t="s">
        <v>90</v>
      </c>
      <c r="D10" s="97" t="s">
        <v>240</v>
      </c>
      <c r="E10" s="56">
        <v>13.2</v>
      </c>
      <c r="F10" s="53" t="s">
        <v>60</v>
      </c>
      <c r="G10" s="56">
        <f>3*0.8*0.45+1*0.6*0.45</f>
        <v>1.3500000000000003</v>
      </c>
      <c r="H10" s="88" t="s">
        <v>122</v>
      </c>
      <c r="I10" s="27" t="s">
        <v>124</v>
      </c>
      <c r="J10" s="27" t="s">
        <v>125</v>
      </c>
      <c r="K10" s="26"/>
      <c r="L10" s="95"/>
      <c r="M10" s="31">
        <v>2</v>
      </c>
      <c r="N10" s="100">
        <v>4.5999999999999996</v>
      </c>
      <c r="O10" s="185"/>
      <c r="P10" s="110">
        <v>0</v>
      </c>
      <c r="Q10" s="43"/>
    </row>
    <row r="11" spans="2:17" x14ac:dyDescent="0.25">
      <c r="B11" s="75" t="s">
        <v>115</v>
      </c>
      <c r="C11" s="43" t="s">
        <v>90</v>
      </c>
      <c r="D11" s="97" t="s">
        <v>240</v>
      </c>
      <c r="E11" s="56">
        <v>22.7</v>
      </c>
      <c r="F11" s="53" t="s">
        <v>60</v>
      </c>
      <c r="G11" s="56">
        <f>3*0.8*0.45</f>
        <v>1.0800000000000003</v>
      </c>
      <c r="H11" s="88" t="s">
        <v>128</v>
      </c>
      <c r="I11" s="27" t="s">
        <v>127</v>
      </c>
      <c r="J11" s="27" t="s">
        <v>124</v>
      </c>
      <c r="K11" s="27"/>
      <c r="L11" s="95"/>
      <c r="M11" s="106" t="s">
        <v>163</v>
      </c>
      <c r="N11" s="100">
        <f>2*2.3</f>
        <v>4.5999999999999996</v>
      </c>
      <c r="O11" s="185"/>
      <c r="P11" s="110">
        <f>1.6*3</f>
        <v>4.8000000000000007</v>
      </c>
      <c r="Q11" s="43"/>
    </row>
    <row r="12" spans="2:17" x14ac:dyDescent="0.25">
      <c r="B12" s="75" t="s">
        <v>116</v>
      </c>
      <c r="C12" s="43" t="s">
        <v>90</v>
      </c>
      <c r="D12" s="97" t="s">
        <v>240</v>
      </c>
      <c r="E12" s="56">
        <v>33.9</v>
      </c>
      <c r="F12" s="53" t="s">
        <v>60</v>
      </c>
      <c r="G12" s="56">
        <f>8*0.8*0.45</f>
        <v>2.8800000000000003</v>
      </c>
      <c r="H12" s="88" t="s">
        <v>129</v>
      </c>
      <c r="I12" s="27" t="s">
        <v>130</v>
      </c>
      <c r="J12" s="25" t="s">
        <v>102</v>
      </c>
      <c r="K12" s="26"/>
      <c r="L12" s="94"/>
      <c r="M12" s="31">
        <v>3</v>
      </c>
      <c r="N12" s="100">
        <v>6.9</v>
      </c>
      <c r="O12" s="185"/>
      <c r="P12" s="110">
        <v>0</v>
      </c>
      <c r="Q12" s="43"/>
    </row>
    <row r="13" spans="2:17" x14ac:dyDescent="0.25">
      <c r="B13" s="75" t="s">
        <v>117</v>
      </c>
      <c r="C13" s="43" t="s">
        <v>90</v>
      </c>
      <c r="D13" s="97" t="s">
        <v>240</v>
      </c>
      <c r="E13" s="56">
        <v>12</v>
      </c>
      <c r="F13" s="53" t="s">
        <v>60</v>
      </c>
      <c r="G13" s="56">
        <f>2*0.8*0.45+0.8*0.45</f>
        <v>1.08</v>
      </c>
      <c r="H13" s="88" t="s">
        <v>122</v>
      </c>
      <c r="I13" s="27" t="s">
        <v>131</v>
      </c>
      <c r="J13" s="27" t="s">
        <v>132</v>
      </c>
      <c r="K13" s="27"/>
      <c r="L13" s="94"/>
      <c r="M13" s="106" t="s">
        <v>164</v>
      </c>
      <c r="N13" s="100">
        <f>2.3</f>
        <v>2.2999999999999998</v>
      </c>
      <c r="O13" s="185"/>
      <c r="P13" s="110">
        <f>(1.5*3.36)</f>
        <v>5.04</v>
      </c>
      <c r="Q13" s="43"/>
    </row>
    <row r="14" spans="2:17" x14ac:dyDescent="0.25">
      <c r="B14" s="75" t="s">
        <v>118</v>
      </c>
      <c r="C14" s="43" t="s">
        <v>90</v>
      </c>
      <c r="D14" s="97" t="s">
        <v>240</v>
      </c>
      <c r="E14" s="56">
        <v>12</v>
      </c>
      <c r="F14" s="53" t="s">
        <v>60</v>
      </c>
      <c r="G14" s="56">
        <f>4*0.8*0.45</f>
        <v>1.4400000000000002</v>
      </c>
      <c r="H14" s="88" t="s">
        <v>122</v>
      </c>
      <c r="I14" s="27" t="s">
        <v>126</v>
      </c>
      <c r="J14" s="27"/>
      <c r="K14" s="27"/>
      <c r="L14" s="95"/>
      <c r="M14" s="106" t="s">
        <v>165</v>
      </c>
      <c r="N14" s="100">
        <f>2.3</f>
        <v>2.2999999999999998</v>
      </c>
      <c r="O14" s="185"/>
      <c r="P14" s="110">
        <f>(1.5*3.36)</f>
        <v>5.04</v>
      </c>
      <c r="Q14" s="43"/>
    </row>
    <row r="15" spans="2:17" x14ac:dyDescent="0.25">
      <c r="B15" s="75" t="s">
        <v>119</v>
      </c>
      <c r="C15" s="43" t="s">
        <v>90</v>
      </c>
      <c r="D15" s="97" t="s">
        <v>240</v>
      </c>
      <c r="E15" s="56">
        <v>36</v>
      </c>
      <c r="F15" s="53" t="s">
        <v>60</v>
      </c>
      <c r="G15" s="56">
        <f>12*0.8*0.45</f>
        <v>4.3200000000000012</v>
      </c>
      <c r="H15" s="88" t="s">
        <v>133</v>
      </c>
      <c r="I15" s="27" t="s">
        <v>134</v>
      </c>
      <c r="J15" s="27"/>
      <c r="K15" s="26"/>
      <c r="L15" s="94"/>
      <c r="M15" s="31">
        <v>1</v>
      </c>
      <c r="N15" s="100">
        <v>2.2999999999999998</v>
      </c>
      <c r="O15" s="185"/>
      <c r="P15" s="110">
        <v>0</v>
      </c>
      <c r="Q15" s="43"/>
    </row>
    <row r="16" spans="2:17" x14ac:dyDescent="0.25">
      <c r="B16" s="75" t="s">
        <v>120</v>
      </c>
      <c r="C16" s="43" t="s">
        <v>16</v>
      </c>
      <c r="D16" s="97" t="s">
        <v>240</v>
      </c>
      <c r="E16" s="56">
        <v>17.7</v>
      </c>
      <c r="F16" s="53" t="s">
        <v>7</v>
      </c>
      <c r="G16" s="56">
        <v>0</v>
      </c>
      <c r="H16" s="88" t="s">
        <v>86</v>
      </c>
      <c r="I16" s="27" t="s">
        <v>87</v>
      </c>
      <c r="J16" s="27" t="s">
        <v>88</v>
      </c>
      <c r="K16" s="27" t="s">
        <v>89</v>
      </c>
      <c r="L16" s="94"/>
      <c r="M16" s="31">
        <v>0</v>
      </c>
      <c r="N16" s="100">
        <v>0</v>
      </c>
      <c r="O16" s="185"/>
      <c r="P16" s="110">
        <v>0</v>
      </c>
      <c r="Q16" s="43" t="s">
        <v>85</v>
      </c>
    </row>
    <row r="17" spans="2:17" x14ac:dyDescent="0.25">
      <c r="B17" s="75" t="s">
        <v>136</v>
      </c>
      <c r="C17" s="43" t="s">
        <v>90</v>
      </c>
      <c r="D17" s="97" t="s">
        <v>240</v>
      </c>
      <c r="E17" s="56">
        <f>22.3+9</f>
        <v>31.3</v>
      </c>
      <c r="F17" s="53" t="s">
        <v>60</v>
      </c>
      <c r="G17" s="56">
        <f>9*0.8*0.45+0.6*0.45</f>
        <v>3.5100000000000002</v>
      </c>
      <c r="H17" s="88" t="s">
        <v>135</v>
      </c>
      <c r="I17" s="27" t="s">
        <v>130</v>
      </c>
      <c r="J17" s="27" t="s">
        <v>125</v>
      </c>
      <c r="K17" s="27" t="s">
        <v>132</v>
      </c>
      <c r="L17" s="92"/>
      <c r="M17" s="107" t="s">
        <v>166</v>
      </c>
      <c r="N17" s="102">
        <f>2*2.3</f>
        <v>4.5999999999999996</v>
      </c>
      <c r="O17" s="185"/>
      <c r="P17" s="110">
        <f>2.83*3+3.14*3</f>
        <v>17.91</v>
      </c>
      <c r="Q17" s="43"/>
    </row>
    <row r="18" spans="2:17" x14ac:dyDescent="0.25">
      <c r="B18" s="75" t="s">
        <v>121</v>
      </c>
      <c r="C18" s="43" t="s">
        <v>90</v>
      </c>
      <c r="D18" s="97" t="s">
        <v>240</v>
      </c>
      <c r="E18" s="56">
        <v>30.2</v>
      </c>
      <c r="F18" s="53" t="s">
        <v>60</v>
      </c>
      <c r="G18" s="62">
        <f>8*0.8*0.45+2*1.3*0.35</f>
        <v>3.79</v>
      </c>
      <c r="H18" s="88" t="s">
        <v>138</v>
      </c>
      <c r="I18" s="27" t="s">
        <v>139</v>
      </c>
      <c r="J18" s="27" t="s">
        <v>130</v>
      </c>
      <c r="K18" s="25" t="s">
        <v>102</v>
      </c>
      <c r="L18" s="95" t="s">
        <v>210</v>
      </c>
      <c r="M18" s="31">
        <v>1</v>
      </c>
      <c r="N18" s="100">
        <v>2.2999999999999998</v>
      </c>
      <c r="O18" s="185"/>
      <c r="P18" s="110">
        <v>0</v>
      </c>
      <c r="Q18" s="43"/>
    </row>
    <row r="19" spans="2:17" x14ac:dyDescent="0.25">
      <c r="B19" s="75" t="s">
        <v>137</v>
      </c>
      <c r="C19" s="43" t="s">
        <v>90</v>
      </c>
      <c r="D19" s="97" t="s">
        <v>240</v>
      </c>
      <c r="E19" s="56">
        <v>32.9</v>
      </c>
      <c r="F19" s="53" t="s">
        <v>60</v>
      </c>
      <c r="G19" s="62">
        <f>12*0.8*0.45+0.8*0.45</f>
        <v>4.6800000000000015</v>
      </c>
      <c r="H19" s="88" t="s">
        <v>140</v>
      </c>
      <c r="I19" s="25" t="s">
        <v>134</v>
      </c>
      <c r="J19" s="25" t="s">
        <v>141</v>
      </c>
      <c r="K19" s="25" t="s">
        <v>102</v>
      </c>
      <c r="L19" s="92"/>
      <c r="M19" s="31">
        <v>3</v>
      </c>
      <c r="N19" s="100">
        <v>6.9</v>
      </c>
      <c r="O19" s="185"/>
      <c r="P19" s="110">
        <v>0</v>
      </c>
      <c r="Q19" s="43"/>
    </row>
    <row r="20" spans="2:17" x14ac:dyDescent="0.25">
      <c r="B20" s="75" t="s">
        <v>142</v>
      </c>
      <c r="C20" s="43" t="s">
        <v>143</v>
      </c>
      <c r="D20" s="97" t="s">
        <v>240</v>
      </c>
      <c r="E20" s="56">
        <v>13.1</v>
      </c>
      <c r="F20" s="53" t="s">
        <v>7</v>
      </c>
      <c r="G20" s="56">
        <f>6.7*0.6</f>
        <v>4.0199999999999996</v>
      </c>
      <c r="H20" s="88" t="s">
        <v>211</v>
      </c>
      <c r="I20" s="25" t="s">
        <v>145</v>
      </c>
      <c r="J20" s="25" t="s">
        <v>212</v>
      </c>
      <c r="K20" s="25"/>
      <c r="L20" s="92"/>
      <c r="M20" s="103" t="s">
        <v>167</v>
      </c>
      <c r="N20" s="100">
        <v>0</v>
      </c>
      <c r="O20" s="185"/>
      <c r="P20" s="110">
        <f>4.33*3</f>
        <v>12.99</v>
      </c>
      <c r="Q20" s="43"/>
    </row>
    <row r="21" spans="2:17" x14ac:dyDescent="0.25">
      <c r="B21" s="75" t="s">
        <v>144</v>
      </c>
      <c r="C21" s="43" t="s">
        <v>82</v>
      </c>
      <c r="D21" s="97" t="s">
        <v>240</v>
      </c>
      <c r="E21" s="56">
        <v>55</v>
      </c>
      <c r="F21" s="53" t="s">
        <v>36</v>
      </c>
      <c r="G21" s="62">
        <v>0</v>
      </c>
      <c r="H21" s="49"/>
      <c r="I21" s="7"/>
      <c r="J21" s="7"/>
      <c r="K21" s="7"/>
      <c r="L21" s="42"/>
      <c r="M21" s="31">
        <v>4</v>
      </c>
      <c r="N21" s="100">
        <f>4*2.3</f>
        <v>9.1999999999999993</v>
      </c>
      <c r="O21" s="185"/>
      <c r="P21" s="110">
        <v>0</v>
      </c>
      <c r="Q21" s="43"/>
    </row>
    <row r="22" spans="2:17" x14ac:dyDescent="0.25">
      <c r="B22" s="75" t="s">
        <v>146</v>
      </c>
      <c r="C22" s="43" t="s">
        <v>4</v>
      </c>
      <c r="D22" s="97" t="s">
        <v>240</v>
      </c>
      <c r="E22" s="56">
        <v>8.1</v>
      </c>
      <c r="F22" s="53" t="s">
        <v>36</v>
      </c>
      <c r="G22" s="56">
        <v>0</v>
      </c>
      <c r="H22" s="88"/>
      <c r="I22" s="27"/>
      <c r="J22" s="27"/>
      <c r="K22" s="27"/>
      <c r="L22" s="94"/>
      <c r="M22" s="31">
        <v>0</v>
      </c>
      <c r="N22" s="100">
        <v>0</v>
      </c>
      <c r="O22" s="186"/>
      <c r="P22" s="110">
        <v>0</v>
      </c>
      <c r="Q22" s="43"/>
    </row>
    <row r="23" spans="2:17" ht="15.75" thickBot="1" x14ac:dyDescent="0.3">
      <c r="B23" s="76"/>
      <c r="C23" s="51" t="s">
        <v>202</v>
      </c>
      <c r="D23" s="113" t="s">
        <v>221</v>
      </c>
      <c r="E23" s="57">
        <f>2.6*3.5*2+2.1*3.5</f>
        <v>25.55</v>
      </c>
      <c r="F23" s="35"/>
      <c r="G23" s="44"/>
      <c r="H23" s="54"/>
      <c r="I23" s="9"/>
      <c r="J23" s="9"/>
      <c r="K23" s="9"/>
      <c r="L23" s="40"/>
      <c r="M23" s="8"/>
      <c r="N23" s="10"/>
      <c r="O23" s="35"/>
      <c r="P23" s="44"/>
      <c r="Q23" s="44"/>
    </row>
    <row r="25" spans="2:17" ht="45" x14ac:dyDescent="0.25">
      <c r="C25" s="122" t="s">
        <v>240</v>
      </c>
      <c r="D25" s="121" t="s">
        <v>241</v>
      </c>
    </row>
    <row r="26" spans="2:17" ht="15.75" thickBot="1" x14ac:dyDescent="0.3"/>
    <row r="27" spans="2:17" ht="60.75" thickBot="1" x14ac:dyDescent="0.3">
      <c r="C27" s="124" t="s">
        <v>193</v>
      </c>
      <c r="D27" s="124" t="s">
        <v>234</v>
      </c>
      <c r="E27" s="18" t="s">
        <v>168</v>
      </c>
      <c r="F27" s="117" t="s">
        <v>235</v>
      </c>
    </row>
    <row r="28" spans="2:17" x14ac:dyDescent="0.25">
      <c r="C28" s="125" t="s">
        <v>7</v>
      </c>
      <c r="D28" s="148" t="s">
        <v>240</v>
      </c>
      <c r="E28" s="148">
        <f>E16+E20-G20-G16</f>
        <v>26.779999999999998</v>
      </c>
      <c r="F28" s="109">
        <f>E28*21</f>
        <v>562.38</v>
      </c>
    </row>
    <row r="29" spans="2:17" x14ac:dyDescent="0.25">
      <c r="C29" s="125" t="s">
        <v>60</v>
      </c>
      <c r="D29" s="163" t="s">
        <v>240</v>
      </c>
      <c r="E29" s="163">
        <f>E8+E9+E10+E11+E12+E13+E14+E15+E17+E18+E19-G8-G9-G10-G11-G12-G13-G14-G15-G17-G18-G19</f>
        <v>225.48</v>
      </c>
      <c r="F29" s="110">
        <f>E29*21</f>
        <v>4735.08</v>
      </c>
    </row>
    <row r="30" spans="2:17" ht="30" x14ac:dyDescent="0.25">
      <c r="C30" s="154" t="s">
        <v>3</v>
      </c>
      <c r="D30" s="165" t="s">
        <v>240</v>
      </c>
      <c r="E30" s="149">
        <f>E5+E6+E21+E22</f>
        <v>304.10000000000002</v>
      </c>
      <c r="F30" s="110">
        <f>E30*21</f>
        <v>6386.1</v>
      </c>
    </row>
    <row r="31" spans="2:17" x14ac:dyDescent="0.25">
      <c r="C31" s="127"/>
      <c r="D31" s="166"/>
      <c r="E31" s="166"/>
      <c r="F31" s="110"/>
    </row>
    <row r="32" spans="2:17" ht="15.75" thickBot="1" x14ac:dyDescent="0.3">
      <c r="C32" s="76" t="s">
        <v>52</v>
      </c>
      <c r="D32" s="119" t="s">
        <v>245</v>
      </c>
      <c r="E32" s="167">
        <f>N5+N6+N8+N9+N10+N11+N12+N13+N14+N15+N17+N18+N19+N20+N21</f>
        <v>66.699999999999989</v>
      </c>
      <c r="F32" s="119"/>
    </row>
    <row r="33" spans="6:7" x14ac:dyDescent="0.25">
      <c r="F33">
        <f>SUM(F28:F32)</f>
        <v>11683.560000000001</v>
      </c>
      <c r="G33" t="s">
        <v>239</v>
      </c>
    </row>
  </sheetData>
  <mergeCells count="8">
    <mergeCell ref="O5:O22"/>
    <mergeCell ref="H3:L4"/>
    <mergeCell ref="M3:N3"/>
    <mergeCell ref="Q3:Q4"/>
    <mergeCell ref="B2:Q2"/>
    <mergeCell ref="C3:C4"/>
    <mergeCell ref="D3:D4"/>
    <mergeCell ref="O3:O4"/>
  </mergeCells>
  <phoneticPr fontId="4" type="noConversion"/>
  <pageMargins left="0.7" right="0.7" top="0.75" bottom="0.75" header="0.3" footer="0.3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225CA-A953-4E60-8F5A-1805F9731B4A}">
  <dimension ref="B1:J19"/>
  <sheetViews>
    <sheetView tabSelected="1" workbookViewId="0">
      <selection activeCell="D13" sqref="D13"/>
    </sheetView>
  </sheetViews>
  <sheetFormatPr defaultRowHeight="15" x14ac:dyDescent="0.25"/>
  <cols>
    <col min="2" max="2" width="17.5703125" customWidth="1"/>
    <col min="3" max="4" width="29.85546875" customWidth="1"/>
    <col min="5" max="5" width="19.42578125" customWidth="1"/>
    <col min="6" max="6" width="30.85546875" customWidth="1"/>
    <col min="7" max="7" width="18.85546875" customWidth="1"/>
    <col min="8" max="8" width="16.5703125" customWidth="1"/>
    <col min="9" max="9" width="9.85546875" customWidth="1"/>
    <col min="10" max="10" width="16.28515625" customWidth="1"/>
  </cols>
  <sheetData>
    <row r="1" spans="2:10" ht="15.75" thickBot="1" x14ac:dyDescent="0.3"/>
    <row r="2" spans="2:10" ht="15.75" thickBot="1" x14ac:dyDescent="0.3">
      <c r="B2" s="195" t="s">
        <v>151</v>
      </c>
      <c r="C2" s="196"/>
      <c r="D2" s="196"/>
      <c r="E2" s="196"/>
      <c r="F2" s="196"/>
      <c r="G2" s="196"/>
      <c r="H2" s="196"/>
      <c r="I2" s="196"/>
      <c r="J2" s="197"/>
    </row>
    <row r="3" spans="2:10" ht="15.75" thickBot="1" x14ac:dyDescent="0.3">
      <c r="B3" s="11" t="s">
        <v>198</v>
      </c>
      <c r="C3" s="178" t="s">
        <v>2</v>
      </c>
      <c r="D3" s="182" t="s">
        <v>217</v>
      </c>
      <c r="E3" s="11" t="s">
        <v>197</v>
      </c>
      <c r="F3" s="11" t="s">
        <v>56</v>
      </c>
      <c r="G3" s="178" t="s">
        <v>11</v>
      </c>
      <c r="H3" s="190" t="s">
        <v>52</v>
      </c>
      <c r="I3" s="190"/>
      <c r="J3" s="201" t="s">
        <v>218</v>
      </c>
    </row>
    <row r="4" spans="2:10" ht="14.45" customHeight="1" thickBot="1" x14ac:dyDescent="0.3">
      <c r="B4" s="12" t="s">
        <v>199</v>
      </c>
      <c r="C4" s="179"/>
      <c r="D4" s="183"/>
      <c r="E4" s="12" t="s">
        <v>168</v>
      </c>
      <c r="F4" s="12" t="s">
        <v>176</v>
      </c>
      <c r="G4" s="179"/>
      <c r="H4" s="11" t="s">
        <v>54</v>
      </c>
      <c r="I4" s="41" t="s">
        <v>168</v>
      </c>
      <c r="J4" s="202"/>
    </row>
    <row r="5" spans="2:10" x14ac:dyDescent="0.25">
      <c r="B5" s="74" t="s">
        <v>152</v>
      </c>
      <c r="C5" s="50" t="s">
        <v>153</v>
      </c>
      <c r="D5" s="109" t="s">
        <v>223</v>
      </c>
      <c r="E5" s="61">
        <v>8.4</v>
      </c>
      <c r="F5" s="52" t="s">
        <v>154</v>
      </c>
      <c r="G5" s="50" t="s">
        <v>53</v>
      </c>
      <c r="H5" s="168"/>
      <c r="I5" s="169"/>
      <c r="J5" s="50" t="s">
        <v>230</v>
      </c>
    </row>
    <row r="6" spans="2:10" x14ac:dyDescent="0.25">
      <c r="B6" s="75" t="s">
        <v>155</v>
      </c>
      <c r="C6" s="43" t="s">
        <v>158</v>
      </c>
      <c r="D6" s="110" t="s">
        <v>223</v>
      </c>
      <c r="E6" s="62">
        <v>16.399999999999999</v>
      </c>
      <c r="F6" s="53" t="s">
        <v>154</v>
      </c>
      <c r="G6" s="43" t="s">
        <v>53</v>
      </c>
      <c r="H6" s="103"/>
      <c r="I6" s="170"/>
      <c r="J6" s="43" t="s">
        <v>230</v>
      </c>
    </row>
    <row r="7" spans="2:10" x14ac:dyDescent="0.25">
      <c r="B7" s="75" t="s">
        <v>156</v>
      </c>
      <c r="C7" s="43" t="s">
        <v>161</v>
      </c>
      <c r="D7" s="110" t="s">
        <v>223</v>
      </c>
      <c r="E7" s="56">
        <v>20.100000000000001</v>
      </c>
      <c r="F7" s="53" t="s">
        <v>154</v>
      </c>
      <c r="G7" s="43" t="s">
        <v>53</v>
      </c>
      <c r="H7" s="103"/>
      <c r="I7" s="170"/>
      <c r="J7" s="43" t="s">
        <v>230</v>
      </c>
    </row>
    <row r="8" spans="2:10" x14ac:dyDescent="0.25">
      <c r="B8" s="75" t="s">
        <v>157</v>
      </c>
      <c r="C8" s="43" t="s">
        <v>162</v>
      </c>
      <c r="D8" s="110" t="s">
        <v>223</v>
      </c>
      <c r="E8" s="56">
        <v>516.70000000000005</v>
      </c>
      <c r="F8" s="53" t="s">
        <v>154</v>
      </c>
      <c r="G8" s="43" t="s">
        <v>53</v>
      </c>
      <c r="H8" s="103" t="s">
        <v>196</v>
      </c>
      <c r="I8" s="102">
        <f>2*(0.8*1.1)+1.15*2+1.1*0.9</f>
        <v>5.0500000000000007</v>
      </c>
      <c r="J8" s="43" t="s">
        <v>230</v>
      </c>
    </row>
    <row r="9" spans="2:10" ht="15.75" thickBot="1" x14ac:dyDescent="0.3">
      <c r="B9" s="82" t="s">
        <v>159</v>
      </c>
      <c r="C9" s="44" t="s">
        <v>160</v>
      </c>
      <c r="D9" s="119" t="s">
        <v>223</v>
      </c>
      <c r="E9" s="112">
        <f>(2.95+1.57+1.06+1.21)*1.06</f>
        <v>7.1974</v>
      </c>
      <c r="F9" s="35" t="s">
        <v>154</v>
      </c>
      <c r="G9" s="44" t="s">
        <v>53</v>
      </c>
      <c r="H9" s="8"/>
      <c r="I9" s="10"/>
      <c r="J9" s="44" t="s">
        <v>230</v>
      </c>
    </row>
    <row r="10" spans="2:10" x14ac:dyDescent="0.25">
      <c r="B10" s="4"/>
      <c r="E10" s="5"/>
      <c r="H10" s="1"/>
      <c r="I10" s="1"/>
    </row>
    <row r="11" spans="2:10" x14ac:dyDescent="0.25">
      <c r="B11" s="4"/>
      <c r="E11" s="5"/>
      <c r="H11" s="3"/>
      <c r="I11" s="1"/>
    </row>
    <row r="12" spans="2:10" ht="15.75" thickBot="1" x14ac:dyDescent="0.3">
      <c r="B12" s="4"/>
      <c r="E12" s="5"/>
      <c r="H12" s="1"/>
      <c r="I12" s="1"/>
    </row>
    <row r="13" spans="2:10" ht="45.75" thickBot="1" x14ac:dyDescent="0.3">
      <c r="B13" s="4"/>
      <c r="C13" s="17" t="s">
        <v>193</v>
      </c>
      <c r="D13" s="124" t="s">
        <v>234</v>
      </c>
      <c r="E13" s="18" t="s">
        <v>168</v>
      </c>
      <c r="H13" s="3"/>
      <c r="I13" s="1"/>
    </row>
    <row r="14" spans="2:10" x14ac:dyDescent="0.25">
      <c r="B14" s="4"/>
      <c r="C14" s="125" t="s">
        <v>154</v>
      </c>
      <c r="D14" s="173" t="s">
        <v>223</v>
      </c>
      <c r="E14" s="171">
        <v>0</v>
      </c>
      <c r="H14" s="3"/>
      <c r="I14" s="1"/>
    </row>
    <row r="15" spans="2:10" ht="15.75" thickBot="1" x14ac:dyDescent="0.3">
      <c r="B15" s="4"/>
      <c r="C15" s="76" t="s">
        <v>52</v>
      </c>
      <c r="D15" s="174" t="s">
        <v>223</v>
      </c>
      <c r="E15" s="172">
        <v>0</v>
      </c>
      <c r="H15" s="1"/>
      <c r="I15" s="1"/>
    </row>
    <row r="16" spans="2:10" x14ac:dyDescent="0.25">
      <c r="B16" s="4"/>
      <c r="E16" s="5"/>
      <c r="H16" s="1"/>
      <c r="I16" s="1"/>
    </row>
    <row r="17" spans="2:9" x14ac:dyDescent="0.25">
      <c r="B17" s="4"/>
      <c r="E17" s="5"/>
      <c r="I17" s="1"/>
    </row>
    <row r="18" spans="2:9" x14ac:dyDescent="0.25">
      <c r="B18" s="4"/>
      <c r="E18" s="5"/>
      <c r="H18" s="1"/>
      <c r="I18" s="1"/>
    </row>
    <row r="19" spans="2:9" x14ac:dyDescent="0.25">
      <c r="B19" s="4"/>
      <c r="E19" s="5"/>
      <c r="H19" s="1"/>
      <c r="I19" s="1"/>
    </row>
  </sheetData>
  <mergeCells count="6">
    <mergeCell ref="J3:J4"/>
    <mergeCell ref="B2:J2"/>
    <mergeCell ref="H3:I3"/>
    <mergeCell ref="G3:G4"/>
    <mergeCell ref="C3:C4"/>
    <mergeCell ref="D3:D4"/>
  </mergeCells>
  <phoneticPr fontId="4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PIWNICA</vt:lpstr>
      <vt:lpstr>PARTER</vt:lpstr>
      <vt:lpstr>I PIĘTRO</vt:lpstr>
      <vt:lpstr>II Pietro</vt:lpstr>
      <vt:lpstr>Poddasze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Hałoński</dc:creator>
  <cp:lastModifiedBy>Emilia Szczybura</cp:lastModifiedBy>
  <cp:lastPrinted>2024-05-28T07:05:21Z</cp:lastPrinted>
  <dcterms:created xsi:type="dcterms:W3CDTF">2015-06-05T18:19:34Z</dcterms:created>
  <dcterms:modified xsi:type="dcterms:W3CDTF">2024-05-28T07:09:05Z</dcterms:modified>
</cp:coreProperties>
</file>